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L1" sheetId="1" r:id="rId1"/>
    <sheet name="L2" sheetId="2" r:id="rId2"/>
    <sheet name="L4" sheetId="3" r:id="rId3"/>
    <sheet name="L5" sheetId="4" r:id="rId4"/>
    <sheet name="L7" sheetId="5" r:id="rId5"/>
    <sheet name="L10" sheetId="6" r:id="rId6"/>
    <sheet name="L11" sheetId="7" r:id="rId7"/>
    <sheet name="L15" sheetId="8" r:id="rId8"/>
    <sheet name="L24" sheetId="9" r:id="rId9"/>
    <sheet name="L25" sheetId="10" r:id="rId10"/>
    <sheet name="L36" sheetId="11" r:id="rId11"/>
    <sheet name="L37FPI" sheetId="12" r:id="rId12"/>
    <sheet name="L37Lives" sheetId="13" r:id="rId13"/>
    <sheet name="L38 FPI" sheetId="14" r:id="rId14"/>
    <sheet name="L38 NOP" sheetId="15" r:id="rId15"/>
  </sheets>
  <definedNames/>
  <calcPr fullCalcOnLoad="1"/>
</workbook>
</file>

<file path=xl/sharedStrings.xml><?xml version="1.0" encoding="utf-8"?>
<sst xmlns="http://schemas.openxmlformats.org/spreadsheetml/2006/main" count="1645" uniqueCount="351">
  <si>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</si>
  <si>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</si>
  <si>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</si>
  <si>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</si>
  <si>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</si>
  <si>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</si>
  <si>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</si>
  <si>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</si>
  <si>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</si>
  <si>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</si>
  <si>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</si>
  <si>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</si>
  <si>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</si>
  <si>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</si>
  <si>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</si>
  <si>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</si>
  <si>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</si>
  <si>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</si>
  <si>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</si>
  <si>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</si>
  <si>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</si>
  <si>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</si>
  <si>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</si>
  <si>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</si>
  <si>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</si>
  <si>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</si>
  <si>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</si>
  <si>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</si>
  <si>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</si>
  <si>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</si>
  <si>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</si>
  <si>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</si>
  <si>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</si>
  <si>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</si>
  <si>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</si>
  <si>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</si>
  <si>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</si>
  <si>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</si>
  <si>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</si>
  <si>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</si>
  <si>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</si>
  <si>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</si>
  <si>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</si>
  <si>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</si>
  <si>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</si>
  <si>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</si>
  <si>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</si>
  <si>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</si>
  <si>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</si>
  <si>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</si>
  <si>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</si>
  <si>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</si>
  <si>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</si>
  <si>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</si>
  <si>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</si>
  <si>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</si>
  <si>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</si>
  <si>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</si>
  <si>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</si>
  <si>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</si>
  <si>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</si>
  <si>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</si>
  <si>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</si>
  <si>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</si>
  <si>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</si>
  <si>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</si>
  <si>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</si>
  <si>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</si>
  <si>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</si>
  <si>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</si>
  <si>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</si>
  <si>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</si>
  <si>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</si>
  <si>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</si>
  <si>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</si>
  <si>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</si>
  <si>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</si>
  <si>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</si>
  <si>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</si>
  <si>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</si>
  <si>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</si>
  <si>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</si>
  <si>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</si>
  <si>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</si>
  <si>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</si>
  <si>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</si>
  <si>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</si>
  <si>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</si>
  <si>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</si>
  <si>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</si>
  <si>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</si>
  <si>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</si>
  <si>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</si>
  <si>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</si>
  <si>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</si>
  <si>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</si>
  <si>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</si>
  <si>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</si>
  <si>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</si>
  <si>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</si>
  <si>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</si>
  <si>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</si>
  <si>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</si>
  <si>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</si>
  <si>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</si>
  <si>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</si>
  <si>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</si>
  <si>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</si>
  <si>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</si>
  <si>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</si>
  <si>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</si>
  <si>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L2:PROFIT &amp; LOSS ACCOUNT</t>
  </si>
  <si>
    <t>Figures in '000'</t>
  </si>
  <si>
    <t>L5:COMMISSION SCHEDULE</t>
  </si>
  <si>
    <t>L7:BENEFITS PAID SCHEDULE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</si>
  <si>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</si>
  <si>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</si>
  <si>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</si>
  <si>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</si>
  <si>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</si>
  <si>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</si>
  <si>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</si>
  <si>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</si>
  <si>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DHFL Pramerica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</si>
  <si>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</si>
  <si>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</si>
  <si>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</si>
  <si>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</si>
  <si>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</si>
  <si>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IDBI Federal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</si>
  <si>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</si>
  <si>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</si>
  <si>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</si>
  <si>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</si>
  <si>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</si>
  <si>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</si>
  <si>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</si>
  <si>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</si>
  <si>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</si>
  <si>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</si>
  <si>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</si>
  <si>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>IDBI Federal Life Insurance Company Limited Nothing</t>
  </si>
  <si>
    <t>SBI Life Insurance Company Limited (In Crore)</t>
  </si>
  <si>
    <t>Reliance Nippon Life Insurance Company Limited  (In Crore)</t>
  </si>
  <si>
    <t>ICICI Prudential Life Insurance Company Limited  (In Crore)</t>
  </si>
  <si>
    <t xml:space="preserve">Edelweiss Tokio Life Insurance Company Limited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</si>
  <si>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</si>
  <si>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</si>
  <si>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</si>
  <si>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</si>
  <si>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</si>
  <si>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</si>
  <si>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</si>
  <si>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</si>
  <si>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</si>
  <si>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</si>
  <si>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</si>
  <si>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</si>
  <si>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</si>
  <si>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</si>
  <si>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</si>
  <si>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</si>
  <si>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</si>
  <si>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</si>
  <si>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</si>
  <si>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</si>
  <si>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</si>
  <si>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</si>
  <si>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</si>
  <si>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</si>
  <si>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</si>
  <si>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</si>
  <si>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</si>
  <si>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</si>
  <si>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</si>
  <si>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</si>
  <si>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</si>
  <si>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</si>
  <si>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</si>
  <si>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</si>
  <si>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</si>
  <si>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</si>
  <si>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</si>
  <si>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</si>
  <si>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</si>
  <si>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</si>
  <si>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</si>
  <si>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</si>
  <si>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</si>
  <si>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</si>
  <si>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</si>
  <si>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</si>
  <si>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</si>
  <si>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</si>
  <si>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</si>
  <si>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</si>
  <si>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</si>
  <si>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</si>
  <si>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</si>
  <si>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</si>
  <si>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</si>
  <si>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</si>
  <si>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</si>
  <si>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</si>
  <si>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</si>
  <si>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</si>
  <si>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</si>
  <si>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Form L-10-Reserves and Surplus Schedule(Amount in '000)</t>
  </si>
  <si>
    <t>Form L-11 -Borrowings Schedule  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</si>
  <si>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</si>
  <si>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</si>
  <si>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</si>
  <si>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</si>
  <si>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t>(g) Appreciation in unclaimed balances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</si>
  <si>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</si>
  <si>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</si>
  <si>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</si>
  <si>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</si>
  <si>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</si>
  <si>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>L25 :Geographical Representation of Life Insurance Business</t>
  </si>
  <si>
    <t>Rural(Individual)</t>
  </si>
  <si>
    <t>No. of Policies</t>
  </si>
  <si>
    <t xml:space="preserve">No. of Lives </t>
  </si>
  <si>
    <t xml:space="preserve">Premium (` in Crores)     </t>
  </si>
  <si>
    <t xml:space="preserve">Premium   (`in Crores)     </t>
  </si>
  <si>
    <t xml:space="preserve">Aditya Birla Sun Life Insurance Company Limited </t>
  </si>
  <si>
    <t>Urban(Individual)</t>
  </si>
  <si>
    <t xml:space="preserve">Bajaj Allianz Life Insurance Company Limited  </t>
  </si>
  <si>
    <t xml:space="preserve">Bharti AXA Life Insurance Private Limited  </t>
  </si>
  <si>
    <t xml:space="preserve">DHFL Pramerica Life Insurance Company Limited  </t>
  </si>
  <si>
    <t xml:space="preserve">Exide life Insurance Company Limited  </t>
  </si>
  <si>
    <t xml:space="preserve">Future Generali India Life Insurance Company Limited  </t>
  </si>
  <si>
    <t xml:space="preserve">HDFC Life Insurance Company Limited   </t>
  </si>
  <si>
    <t xml:space="preserve">Canara HSBC Oriental Bank of Commerce Life Insurance Company Limited </t>
  </si>
  <si>
    <t xml:space="preserve">Shriram Life Insurance Company Limited </t>
  </si>
  <si>
    <t>Life Industry Total</t>
  </si>
  <si>
    <t xml:space="preserve">PNB MetLife India Insurance Company Limited </t>
  </si>
  <si>
    <t>Current Tax (Credit)/Charge</t>
  </si>
  <si>
    <t>Provision for current tax</t>
  </si>
  <si>
    <t>Total (E)</t>
  </si>
  <si>
    <t>(c)Others</t>
  </si>
  <si>
    <t>Individual Business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</si>
  <si>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</si>
  <si>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(A)</t>
    </r>
  </si>
  <si>
    <t>Sahara India Life Insurance Company Limited (Total 2018-19 &amp; 2017-18)</t>
  </si>
  <si>
    <t>(h) Non Linked</t>
  </si>
  <si>
    <t>€ Transfer/Gain on revaluation/change in fair value</t>
  </si>
  <si>
    <t>First year Premium</t>
  </si>
  <si>
    <t xml:space="preserve"> Premium </t>
  </si>
  <si>
    <t xml:space="preserve"> No. of Lives </t>
  </si>
  <si>
    <t>Sum Assured,Whereever Applicable</t>
  </si>
  <si>
    <t>i) Individual Single Premium- (ISP)</t>
  </si>
  <si>
    <t>From 0-10000</t>
  </si>
  <si>
    <t>From 10,000-25,000</t>
  </si>
  <si>
    <t>From 25001-50,000</t>
  </si>
  <si>
    <t>From 50,001- 75,000</t>
  </si>
  <si>
    <t>From  75,000-100,000</t>
  </si>
  <si>
    <t>From 1,00,001 -1,25,000</t>
  </si>
  <si>
    <t>Above Rs. 1,25,000</t>
  </si>
  <si>
    <t>ii) Individual Single Premium (ISPA)- Annuity</t>
  </si>
  <si>
    <t>From 0-50000</t>
  </si>
  <si>
    <t>From 50,001-100,000</t>
  </si>
  <si>
    <t>From 1,00,001-150,000</t>
  </si>
  <si>
    <t>From 150,001- 2,00,000</t>
  </si>
  <si>
    <t>From  2,00,,001-250,000</t>
  </si>
  <si>
    <t>From 2,50,001 -3,00,000</t>
  </si>
  <si>
    <t>Above Rs. 3,00,000</t>
  </si>
  <si>
    <t>iii) Group Single Premium (GSP)</t>
  </si>
  <si>
    <t>iv) Group Single Premium- Annuity- GSPA</t>
  </si>
  <si>
    <t>v) Individual non Single Premium- INSP</t>
  </si>
  <si>
    <t>vi) Individual non Single Premium- Annuity- INSPA</t>
  </si>
  <si>
    <t>vii) Group Non Single Premium (GNSP)</t>
  </si>
  <si>
    <t>viii) Group Non Single Premium- Annuity- GNSPA</t>
  </si>
  <si>
    <t>Aviva Life Insurance Company India Limited (Registration Code: 0122)</t>
  </si>
  <si>
    <t>Aegon Life Insurance Company Limited (Lakhs)</t>
  </si>
  <si>
    <t>Aviva Life Insurance Company India Private Limited (Lakhs)</t>
  </si>
  <si>
    <t>Bajaj Allianz Life Insurance Company Limited (Lakhs)</t>
  </si>
  <si>
    <t>Bharti AXA Life Insurance Private Limited (Crores)</t>
  </si>
  <si>
    <t>Canara HSBC Oriental Bank of Commerce Life Insurance Company Limited (lakhs)</t>
  </si>
  <si>
    <t>Edelweiss Tokio Life Insurance Company Limited (Crores)</t>
  </si>
  <si>
    <t>Exide life Insurance Company Limited (Lakhs)</t>
  </si>
  <si>
    <t>Future Generali India Life Insurance Company Limited (Lakhs)</t>
  </si>
  <si>
    <t>HDFC Life Insurance Company Limited (Lakhs)</t>
  </si>
  <si>
    <t>ICICI Prudential Life Insurance Company Limited (Lakhs)</t>
  </si>
  <si>
    <t>IDBI Federal Life Insurance Company Limited (Crores)</t>
  </si>
  <si>
    <t>IndiaFirst Life Insurance Company Limited (Lakhs)</t>
  </si>
  <si>
    <t>Kotak Mahindra Life Insurance Company Limited (Lakhs)</t>
  </si>
  <si>
    <t>Max Life Insurance Company Limited (Crores)</t>
  </si>
  <si>
    <t>PNB MetLife India Insurance Company Limited (Lakhs)</t>
  </si>
  <si>
    <t>Reliance Nippon Life Insurance Company Limited (Lakhs)</t>
  </si>
  <si>
    <t>SBI Life Insurance Company Limited (Crores)</t>
  </si>
  <si>
    <t>Shriram Life Insurance Company Limited (Lakhs)</t>
  </si>
  <si>
    <t>Star Union Dai-ichi Life Insurance Company Limited (Lakhs)</t>
  </si>
  <si>
    <t>Tata AIA Life Insurance Company Limited (Lakhs)</t>
  </si>
  <si>
    <t>Aditya Birla Sun Life Insurance Company Limited (Lakhs)</t>
  </si>
  <si>
    <t>For Q3 201920</t>
  </si>
  <si>
    <t>Upto Q3 201920</t>
  </si>
  <si>
    <t>For Q3 1920</t>
  </si>
  <si>
    <t>Upto Q3 1920</t>
  </si>
  <si>
    <t>AS at 31.12.2019</t>
  </si>
  <si>
    <t>Reward/Remuneration to Agent,brokers &amp; other intermediaries</t>
  </si>
  <si>
    <t>Total Commission</t>
  </si>
  <si>
    <t>Pramerica Life Insurance Company Limited</t>
  </si>
  <si>
    <t>Linked</t>
  </si>
  <si>
    <t>a) Life</t>
  </si>
  <si>
    <t>b) General Annuity</t>
  </si>
  <si>
    <t>c) Pension</t>
  </si>
  <si>
    <t>d) Health</t>
  </si>
  <si>
    <t>e) Par</t>
  </si>
  <si>
    <t>f) Funds for discontinued policies</t>
  </si>
  <si>
    <t>Non-Linked</t>
  </si>
  <si>
    <t>Non Par Variable</t>
  </si>
  <si>
    <t>FORM L-24  Valuation of net liabiltiies: As at 31.12.2019</t>
  </si>
  <si>
    <t>Form L-15-Loans Schedule  (` in '000)</t>
  </si>
  <si>
    <t>SECURITY WISE CLASSIFICATION</t>
  </si>
  <si>
    <t>Secured</t>
  </si>
  <si>
    <t>-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</si>
  <si>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</si>
  <si>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</si>
  <si>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</si>
  <si>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</si>
  <si>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</si>
  <si>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</si>
  <si>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</si>
  <si>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Provision for Doubtful Debts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</si>
  <si>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</si>
  <si>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</si>
  <si>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</si>
  <si>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</si>
  <si>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</si>
  <si>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</si>
  <si>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</si>
  <si>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</si>
  <si>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</si>
  <si>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</si>
  <si>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</si>
  <si>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Provision for Standard Loans</t>
  </si>
  <si>
    <t>(b)  Non - standard loans less provisions</t>
  </si>
  <si>
    <t xml:space="preserve">        (bb)  Outside India</t>
  </si>
  <si>
    <t>Provision for Non Standard Loans</t>
  </si>
  <si>
    <t>MATURITY - WISE CLASSIFICATION</t>
  </si>
  <si>
    <t>(a)  Short Term</t>
  </si>
  <si>
    <t xml:space="preserve">        In India</t>
  </si>
  <si>
    <t xml:space="preserve">        Outside India</t>
  </si>
  <si>
    <t>Provision for Short Term</t>
  </si>
  <si>
    <t>(b)  Long Term</t>
  </si>
  <si>
    <t>Provision for Long Term</t>
  </si>
  <si>
    <t>As at 31st December,2019</t>
  </si>
  <si>
    <t>FORM L-36 :Premium and number of lives covered by policy type As on 31st December 2019</t>
  </si>
  <si>
    <t>Pramerica Life Insurance Company Limited (Lakhs)</t>
  </si>
  <si>
    <t>Life Insurance Corporation of India (Lakhs)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</si>
</sst>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b/>
      <sz val="7"/>
      <name val="Cambria"/>
      <family val="1"/>
    </font>
    <font>
      <b/>
      <sz val="7"/>
      <name val="Arial"/>
      <family val="2"/>
    </font>
    <font>
      <sz val="7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  <font>
      <i/>
      <sz val="9"/>
      <color indexed="8"/>
      <name val="Comic Sans MS"/>
      <family val="4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10"/>
      <color indexed="8"/>
      <name val="Comic Sans MS"/>
      <family val="4"/>
    </font>
    <font>
      <b/>
      <sz val="8"/>
      <color indexed="8"/>
      <name val="Comic Sans MS"/>
      <family val="4"/>
    </font>
    <font>
      <b/>
      <sz val="9"/>
      <color indexed="49"/>
      <name val="Comic Sans MS"/>
      <family val="4"/>
    </font>
    <font>
      <sz val="9"/>
      <color indexed="49"/>
      <name val="Comic Sans MS"/>
      <family val="4"/>
    </font>
    <font>
      <b/>
      <sz val="8"/>
      <color indexed="49"/>
      <name val="Comic Sans MS"/>
      <family val="4"/>
    </font>
    <font>
      <sz val="11"/>
      <color indexed="49"/>
      <name val="Comic Sans MS"/>
      <family val="4"/>
    </font>
    <font>
      <b/>
      <sz val="10"/>
      <color indexed="49"/>
      <name val="Comic Sans MS"/>
      <family val="4"/>
    </font>
    <font>
      <b/>
      <sz val="11"/>
      <color indexed="49"/>
      <name val="Comic Sans MS"/>
      <family val="4"/>
    </font>
    <font>
      <sz val="9"/>
      <color indexed="62"/>
      <name val="Comic Sans MS"/>
      <family val="4"/>
    </font>
    <font>
      <b/>
      <sz val="9"/>
      <color indexed="62"/>
      <name val="Comic Sans MS"/>
      <family val="4"/>
    </font>
    <font>
      <sz val="11"/>
      <color indexed="62"/>
      <name val="Comic Sans MS"/>
      <family val="4"/>
    </font>
    <font>
      <b/>
      <sz val="8"/>
      <color indexed="62"/>
      <name val="Comic Sans MS"/>
      <family val="4"/>
    </font>
    <font>
      <sz val="8"/>
      <color indexed="62"/>
      <name val="Comic Sans MS"/>
      <family val="4"/>
    </font>
    <font>
      <b/>
      <sz val="10"/>
      <color indexed="62"/>
      <name val="Comic Sans MS"/>
      <family val="4"/>
    </font>
    <font>
      <b/>
      <sz val="8"/>
      <color indexed="30"/>
      <name val="Comic Sans MS"/>
      <family val="4"/>
    </font>
    <font>
      <b/>
      <sz val="11"/>
      <color indexed="30"/>
      <name val="Comic Sans MS"/>
      <family val="4"/>
    </font>
    <font>
      <b/>
      <sz val="10"/>
      <color indexed="30"/>
      <name val="Comic Sans MS"/>
      <family val="4"/>
    </font>
    <font>
      <b/>
      <sz val="9"/>
      <color indexed="10"/>
      <name val="Comic Sans MS"/>
      <family val="4"/>
    </font>
    <font>
      <sz val="8"/>
      <color indexed="10"/>
      <name val="Comic Sans MS"/>
      <family val="4"/>
    </font>
    <font>
      <sz val="7"/>
      <color indexed="62"/>
      <name val="Comic Sans MS"/>
      <family val="4"/>
    </font>
    <font>
      <b/>
      <sz val="7"/>
      <color indexed="8"/>
      <name val="Comic Sans MS"/>
      <family val="4"/>
    </font>
    <font>
      <sz val="7"/>
      <color indexed="8"/>
      <name val="Comic Sans MS"/>
      <family val="4"/>
    </font>
    <font>
      <sz val="7"/>
      <color indexed="8"/>
      <name val="CIDFontF"/>
      <family val="0"/>
    </font>
    <font>
      <i/>
      <sz val="8"/>
      <color indexed="8"/>
      <name val="Comic Sans MS"/>
      <family val="4"/>
    </font>
    <font>
      <b/>
      <sz val="11"/>
      <color indexed="8"/>
      <name val="Comic Sans MS"/>
      <family val="4"/>
    </font>
    <font>
      <b/>
      <i/>
      <sz val="9"/>
      <color indexed="62"/>
      <name val="Comic Sans MS"/>
      <family val="4"/>
    </font>
    <font>
      <b/>
      <sz val="10"/>
      <color indexed="8"/>
      <name val="Arial"/>
      <family val="2"/>
    </font>
    <font>
      <b/>
      <sz val="7"/>
      <color indexed="62"/>
      <name val="Comic Sans MS"/>
      <family val="4"/>
    </font>
    <font>
      <b/>
      <u val="single"/>
      <sz val="8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i/>
      <sz val="9"/>
      <color theme="1"/>
      <name val="Comic Sans MS"/>
      <family val="4"/>
    </font>
    <font>
      <sz val="9"/>
      <color rgb="FF000000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8"/>
      <color rgb="FF000000"/>
      <name val="Comic Sans MS"/>
      <family val="4"/>
    </font>
    <font>
      <b/>
      <sz val="10"/>
      <color theme="1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10"/>
      <color rgb="FF000000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0"/>
      <color theme="8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9"/>
      <color rgb="FFFF0000"/>
      <name val="Comic Sans MS"/>
      <family val="4"/>
    </font>
    <font>
      <sz val="8"/>
      <color rgb="FFFF0000"/>
      <name val="Comic Sans MS"/>
      <family val="4"/>
    </font>
    <font>
      <sz val="7"/>
      <color theme="8"/>
      <name val="Comic Sans MS"/>
      <family val="4"/>
    </font>
    <font>
      <b/>
      <sz val="7"/>
      <color theme="1"/>
      <name val="Comic Sans MS"/>
      <family val="4"/>
    </font>
    <font>
      <sz val="7"/>
      <color theme="1"/>
      <name val="Comic Sans MS"/>
      <family val="4"/>
    </font>
    <font>
      <sz val="7"/>
      <color rgb="FF000000"/>
      <name val="CIDFontF"/>
      <family val="0"/>
    </font>
    <font>
      <sz val="7"/>
      <color rgb="FF000000"/>
      <name val="Comic Sans MS"/>
      <family val="4"/>
    </font>
    <font>
      <i/>
      <sz val="8"/>
      <color rgb="FF000000"/>
      <name val="Comic Sans MS"/>
      <family val="4"/>
    </font>
    <font>
      <sz val="10"/>
      <color rgb="FF000000"/>
      <name val="Comic Sans MS"/>
      <family val="4"/>
    </font>
    <font>
      <b/>
      <sz val="11"/>
      <color theme="1"/>
      <name val="Comic Sans MS"/>
      <family val="4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  <font>
      <b/>
      <u val="single"/>
      <sz val="8"/>
      <color theme="1"/>
      <name val="Comic Sans MS"/>
      <family val="4"/>
    </font>
    <font>
      <b/>
      <sz val="7"/>
      <color theme="8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322">
    <xf numFmtId="0" fontId="0" fillId="0" borderId="0" xfId="0" applyFont="1" applyAlignment="1">
      <alignment/>
    </xf>
    <xf numFmtId="2" fontId="87" fillId="0" borderId="10" xfId="0" applyNumberFormat="1" applyFont="1" applyBorder="1" applyAlignment="1">
      <alignment horizontal="left"/>
    </xf>
    <xf numFmtId="2" fontId="87" fillId="0" borderId="11" xfId="0" applyNumberFormat="1" applyFont="1" applyBorder="1" applyAlignment="1">
      <alignment horizontal="left"/>
    </xf>
    <xf numFmtId="2" fontId="88" fillId="0" borderId="10" xfId="0" applyNumberFormat="1" applyFont="1" applyBorder="1" applyAlignment="1">
      <alignment horizontal="left"/>
    </xf>
    <xf numFmtId="2" fontId="88" fillId="0" borderId="11" xfId="0" applyNumberFormat="1" applyFont="1" applyBorder="1" applyAlignment="1">
      <alignment horizontal="left"/>
    </xf>
    <xf numFmtId="2" fontId="88" fillId="0" borderId="12" xfId="0" applyNumberFormat="1" applyFont="1" applyBorder="1" applyAlignment="1">
      <alignment horizontal="left"/>
    </xf>
    <xf numFmtId="0" fontId="87" fillId="0" borderId="0" xfId="0" applyFont="1" applyAlignment="1">
      <alignment horizontal="left"/>
    </xf>
    <xf numFmtId="1" fontId="87" fillId="0" borderId="11" xfId="0" applyNumberFormat="1" applyFont="1" applyBorder="1" applyAlignment="1">
      <alignment horizontal="left" vertical="center"/>
    </xf>
    <xf numFmtId="1" fontId="88" fillId="0" borderId="10" xfId="0" applyNumberFormat="1" applyFont="1" applyBorder="1" applyAlignment="1">
      <alignment horizontal="left" vertical="center"/>
    </xf>
    <xf numFmtId="1" fontId="88" fillId="0" borderId="13" xfId="0" applyNumberFormat="1" applyFont="1" applyBorder="1" applyAlignment="1">
      <alignment horizontal="left" vertical="center"/>
    </xf>
    <xf numFmtId="1" fontId="87" fillId="0" borderId="11" xfId="0" applyNumberFormat="1" applyFont="1" applyBorder="1" applyAlignment="1">
      <alignment horizontal="left"/>
    </xf>
    <xf numFmtId="1" fontId="87" fillId="0" borderId="10" xfId="0" applyNumberFormat="1" applyFont="1" applyBorder="1" applyAlignment="1">
      <alignment horizontal="left"/>
    </xf>
    <xf numFmtId="2" fontId="87" fillId="0" borderId="13" xfId="0" applyNumberFormat="1" applyFont="1" applyBorder="1" applyAlignment="1">
      <alignment horizontal="left"/>
    </xf>
    <xf numFmtId="1" fontId="87" fillId="0" borderId="13" xfId="0" applyNumberFormat="1" applyFont="1" applyBorder="1" applyAlignment="1">
      <alignment horizontal="left"/>
    </xf>
    <xf numFmtId="1" fontId="87" fillId="0" borderId="12" xfId="0" applyNumberFormat="1" applyFont="1" applyBorder="1" applyAlignment="1">
      <alignment horizontal="left"/>
    </xf>
    <xf numFmtId="1" fontId="87" fillId="0" borderId="13" xfId="42" applyNumberFormat="1" applyFont="1" applyBorder="1" applyAlignment="1">
      <alignment horizontal="left"/>
    </xf>
    <xf numFmtId="1" fontId="87" fillId="0" borderId="11" xfId="42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left"/>
    </xf>
    <xf numFmtId="1" fontId="88" fillId="0" borderId="10" xfId="0" applyNumberFormat="1" applyFont="1" applyBorder="1" applyAlignment="1">
      <alignment horizontal="left"/>
    </xf>
    <xf numFmtId="2" fontId="88" fillId="0" borderId="13" xfId="0" applyNumberFormat="1" applyFont="1" applyBorder="1" applyAlignment="1">
      <alignment horizontal="left"/>
    </xf>
    <xf numFmtId="1" fontId="88" fillId="0" borderId="13" xfId="0" applyNumberFormat="1" applyFont="1" applyBorder="1" applyAlignment="1">
      <alignment horizontal="left"/>
    </xf>
    <xf numFmtId="1" fontId="87" fillId="0" borderId="0" xfId="0" applyNumberFormat="1" applyFont="1" applyAlignment="1">
      <alignment horizontal="left"/>
    </xf>
    <xf numFmtId="2" fontId="87" fillId="0" borderId="14" xfId="0" applyNumberFormat="1" applyFont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90" fillId="0" borderId="15" xfId="0" applyFont="1" applyBorder="1" applyAlignment="1">
      <alignment horizontal="left"/>
    </xf>
    <xf numFmtId="1" fontId="87" fillId="0" borderId="16" xfId="0" applyNumberFormat="1" applyFont="1" applyBorder="1" applyAlignment="1">
      <alignment horizontal="left" vertical="center"/>
    </xf>
    <xf numFmtId="1" fontId="87" fillId="0" borderId="14" xfId="0" applyNumberFormat="1" applyFont="1" applyBorder="1" applyAlignment="1">
      <alignment horizontal="left" vertical="center"/>
    </xf>
    <xf numFmtId="1" fontId="87" fillId="0" borderId="17" xfId="0" applyNumberFormat="1" applyFont="1" applyBorder="1" applyAlignment="1">
      <alignment horizontal="left"/>
    </xf>
    <xf numFmtId="1" fontId="87" fillId="0" borderId="14" xfId="0" applyNumberFormat="1" applyFont="1" applyBorder="1" applyAlignment="1">
      <alignment horizontal="left"/>
    </xf>
    <xf numFmtId="1" fontId="87" fillId="0" borderId="18" xfId="0" applyNumberFormat="1" applyFont="1" applyBorder="1" applyAlignment="1">
      <alignment horizontal="left"/>
    </xf>
    <xf numFmtId="1" fontId="87" fillId="0" borderId="16" xfId="0" applyNumberFormat="1" applyFont="1" applyBorder="1" applyAlignment="1">
      <alignment horizontal="left"/>
    </xf>
    <xf numFmtId="2" fontId="87" fillId="0" borderId="17" xfId="0" applyNumberFormat="1" applyFont="1" applyBorder="1" applyAlignment="1">
      <alignment horizontal="left"/>
    </xf>
    <xf numFmtId="2" fontId="87" fillId="0" borderId="18" xfId="0" applyNumberFormat="1" applyFont="1" applyBorder="1" applyAlignment="1">
      <alignment horizontal="left"/>
    </xf>
    <xf numFmtId="1" fontId="87" fillId="0" borderId="16" xfId="44" applyNumberFormat="1" applyFont="1" applyBorder="1" applyAlignment="1">
      <alignment horizontal="left"/>
    </xf>
    <xf numFmtId="1" fontId="87" fillId="0" borderId="17" xfId="42" applyNumberFormat="1" applyFont="1" applyBorder="1" applyAlignment="1">
      <alignment horizontal="left"/>
    </xf>
    <xf numFmtId="1" fontId="87" fillId="0" borderId="14" xfId="42" applyNumberFormat="1" applyFont="1" applyBorder="1" applyAlignment="1">
      <alignment horizontal="left"/>
    </xf>
    <xf numFmtId="1" fontId="88" fillId="0" borderId="19" xfId="0" applyNumberFormat="1" applyFont="1" applyBorder="1" applyAlignment="1">
      <alignment horizontal="left"/>
    </xf>
    <xf numFmtId="2" fontId="87" fillId="0" borderId="0" xfId="0" applyNumberFormat="1" applyFont="1" applyAlignment="1">
      <alignment horizontal="left"/>
    </xf>
    <xf numFmtId="1" fontId="87" fillId="0" borderId="10" xfId="0" applyNumberFormat="1" applyFont="1" applyBorder="1" applyAlignment="1">
      <alignment horizontal="left" vertical="center"/>
    </xf>
    <xf numFmtId="1" fontId="87" fillId="0" borderId="10" xfId="44" applyNumberFormat="1" applyFont="1" applyBorder="1" applyAlignment="1">
      <alignment horizontal="left"/>
    </xf>
    <xf numFmtId="1" fontId="88" fillId="0" borderId="20" xfId="0" applyNumberFormat="1" applyFont="1" applyBorder="1" applyAlignment="1">
      <alignment horizontal="left"/>
    </xf>
    <xf numFmtId="1" fontId="88" fillId="0" borderId="21" xfId="0" applyNumberFormat="1" applyFont="1" applyBorder="1" applyAlignment="1">
      <alignment horizontal="left"/>
    </xf>
    <xf numFmtId="0" fontId="91" fillId="0" borderId="0" xfId="0" applyFont="1" applyAlignment="1">
      <alignment horizontal="left"/>
    </xf>
    <xf numFmtId="2" fontId="92" fillId="0" borderId="10" xfId="0" applyNumberFormat="1" applyFont="1" applyBorder="1" applyAlignment="1">
      <alignment horizontal="left"/>
    </xf>
    <xf numFmtId="2" fontId="92" fillId="0" borderId="11" xfId="0" applyNumberFormat="1" applyFont="1" applyBorder="1" applyAlignment="1">
      <alignment horizontal="left"/>
    </xf>
    <xf numFmtId="2" fontId="92" fillId="0" borderId="22" xfId="0" applyNumberFormat="1" applyFont="1" applyBorder="1" applyAlignment="1">
      <alignment horizontal="left"/>
    </xf>
    <xf numFmtId="0" fontId="87" fillId="0" borderId="11" xfId="0" applyFont="1" applyBorder="1" applyAlignment="1">
      <alignment horizontal="left"/>
    </xf>
    <xf numFmtId="2" fontId="92" fillId="0" borderId="13" xfId="0" applyNumberFormat="1" applyFont="1" applyBorder="1" applyAlignment="1">
      <alignment horizontal="left"/>
    </xf>
    <xf numFmtId="164" fontId="93" fillId="0" borderId="11" xfId="0" applyNumberFormat="1" applyFont="1" applyBorder="1" applyAlignment="1">
      <alignment horizontal="left"/>
    </xf>
    <xf numFmtId="2" fontId="92" fillId="0" borderId="10" xfId="0" applyNumberFormat="1" applyFont="1" applyFill="1" applyBorder="1" applyAlignment="1">
      <alignment horizontal="left"/>
    </xf>
    <xf numFmtId="2" fontId="92" fillId="0" borderId="11" xfId="0" applyNumberFormat="1" applyFont="1" applyFill="1" applyBorder="1" applyAlignment="1">
      <alignment horizontal="left"/>
    </xf>
    <xf numFmtId="2" fontId="92" fillId="0" borderId="11" xfId="42" applyNumberFormat="1" applyFont="1" applyBorder="1" applyAlignment="1">
      <alignment horizontal="left"/>
    </xf>
    <xf numFmtId="2" fontId="94" fillId="0" borderId="13" xfId="0" applyNumberFormat="1" applyFont="1" applyBorder="1" applyAlignment="1">
      <alignment horizontal="left"/>
    </xf>
    <xf numFmtId="2" fontId="92" fillId="0" borderId="10" xfId="42" applyNumberFormat="1" applyFont="1" applyBorder="1" applyAlignment="1">
      <alignment horizontal="left"/>
    </xf>
    <xf numFmtId="2" fontId="94" fillId="0" borderId="10" xfId="0" applyNumberFormat="1" applyFont="1" applyBorder="1" applyAlignment="1">
      <alignment horizontal="left"/>
    </xf>
    <xf numFmtId="2" fontId="88" fillId="0" borderId="10" xfId="0" applyNumberFormat="1" applyFont="1" applyBorder="1" applyAlignment="1">
      <alignment horizontal="left" vertical="center"/>
    </xf>
    <xf numFmtId="2" fontId="91" fillId="0" borderId="0" xfId="0" applyNumberFormat="1" applyFont="1" applyAlignment="1">
      <alignment horizontal="left"/>
    </xf>
    <xf numFmtId="2" fontId="88" fillId="0" borderId="10" xfId="44" applyNumberFormat="1" applyFont="1" applyBorder="1" applyAlignment="1">
      <alignment horizontal="left"/>
    </xf>
    <xf numFmtId="2" fontId="88" fillId="0" borderId="11" xfId="44" applyNumberFormat="1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88" fillId="0" borderId="0" xfId="0" applyFont="1" applyAlignment="1">
      <alignment/>
    </xf>
    <xf numFmtId="0" fontId="96" fillId="0" borderId="0" xfId="0" applyFont="1" applyAlignment="1">
      <alignment horizontal="left"/>
    </xf>
    <xf numFmtId="2" fontId="88" fillId="0" borderId="13" xfId="0" applyNumberFormat="1" applyFont="1" applyBorder="1" applyAlignment="1">
      <alignment horizontal="left" vertical="center"/>
    </xf>
    <xf numFmtId="2" fontId="88" fillId="0" borderId="12" xfId="0" applyNumberFormat="1" applyFont="1" applyBorder="1" applyAlignment="1">
      <alignment horizontal="left" vertical="center"/>
    </xf>
    <xf numFmtId="0" fontId="88" fillId="0" borderId="0" xfId="0" applyFont="1" applyAlignment="1">
      <alignment horizontal="left"/>
    </xf>
    <xf numFmtId="2" fontId="88" fillId="0" borderId="22" xfId="0" applyNumberFormat="1" applyFont="1" applyBorder="1" applyAlignment="1">
      <alignment horizontal="left"/>
    </xf>
    <xf numFmtId="2" fontId="88" fillId="0" borderId="11" xfId="0" applyNumberFormat="1" applyFont="1" applyFill="1" applyBorder="1" applyAlignment="1">
      <alignment horizontal="left"/>
    </xf>
    <xf numFmtId="2" fontId="88" fillId="0" borderId="10" xfId="42" applyNumberFormat="1" applyFont="1" applyBorder="1" applyAlignment="1">
      <alignment horizontal="left"/>
    </xf>
    <xf numFmtId="2" fontId="88" fillId="0" borderId="11" xfId="42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88" fillId="0" borderId="10" xfId="0" applyNumberFormat="1" applyFont="1" applyBorder="1" applyAlignment="1">
      <alignment horizontal="left" wrapText="1"/>
    </xf>
    <xf numFmtId="0" fontId="95" fillId="0" borderId="23" xfId="0" applyFont="1" applyBorder="1" applyAlignment="1">
      <alignment horizontal="left"/>
    </xf>
    <xf numFmtId="0" fontId="91" fillId="0" borderId="0" xfId="0" applyFont="1" applyAlignment="1">
      <alignment/>
    </xf>
    <xf numFmtId="0" fontId="93" fillId="0" borderId="24" xfId="0" applyFont="1" applyBorder="1" applyAlignment="1">
      <alignment horizontal="left"/>
    </xf>
    <xf numFmtId="1" fontId="96" fillId="0" borderId="10" xfId="0" applyNumberFormat="1" applyFont="1" applyBorder="1" applyAlignment="1">
      <alignment horizontal="left" vertical="center"/>
    </xf>
    <xf numFmtId="0" fontId="97" fillId="0" borderId="12" xfId="0" applyFont="1" applyBorder="1" applyAlignment="1">
      <alignment horizontal="left"/>
    </xf>
    <xf numFmtId="0" fontId="97" fillId="0" borderId="0" xfId="0" applyFont="1" applyAlignment="1">
      <alignment horizontal="left"/>
    </xf>
    <xf numFmtId="2" fontId="97" fillId="0" borderId="12" xfId="0" applyNumberFormat="1" applyFont="1" applyBorder="1" applyAlignment="1">
      <alignment horizontal="left" vertical="center"/>
    </xf>
    <xf numFmtId="2" fontId="97" fillId="0" borderId="10" xfId="0" applyNumberFormat="1" applyFont="1" applyBorder="1" applyAlignment="1">
      <alignment horizontal="left"/>
    </xf>
    <xf numFmtId="2" fontId="97" fillId="0" borderId="11" xfId="0" applyNumberFormat="1" applyFont="1" applyBorder="1" applyAlignment="1">
      <alignment horizontal="left"/>
    </xf>
    <xf numFmtId="2" fontId="97" fillId="0" borderId="12" xfId="0" applyNumberFormat="1" applyFont="1" applyBorder="1" applyAlignment="1">
      <alignment horizontal="left"/>
    </xf>
    <xf numFmtId="2" fontId="97" fillId="0" borderId="22" xfId="0" applyNumberFormat="1" applyFont="1" applyBorder="1" applyAlignment="1">
      <alignment horizontal="left"/>
    </xf>
    <xf numFmtId="1" fontId="97" fillId="0" borderId="10" xfId="0" applyNumberFormat="1" applyFont="1" applyBorder="1" applyAlignment="1">
      <alignment horizontal="left"/>
    </xf>
    <xf numFmtId="1" fontId="97" fillId="0" borderId="11" xfId="0" applyNumberFormat="1" applyFont="1" applyBorder="1" applyAlignment="1">
      <alignment horizontal="left"/>
    </xf>
    <xf numFmtId="1" fontId="97" fillId="0" borderId="12" xfId="0" applyNumberFormat="1" applyFont="1" applyBorder="1" applyAlignment="1">
      <alignment horizontal="left"/>
    </xf>
    <xf numFmtId="2" fontId="97" fillId="0" borderId="10" xfId="44" applyNumberFormat="1" applyFont="1" applyBorder="1" applyAlignment="1">
      <alignment horizontal="left"/>
    </xf>
    <xf numFmtId="2" fontId="97" fillId="0" borderId="12" xfId="44" applyNumberFormat="1" applyFont="1" applyBorder="1" applyAlignment="1">
      <alignment horizontal="left"/>
    </xf>
    <xf numFmtId="2" fontId="97" fillId="0" borderId="10" xfId="0" applyNumberFormat="1" applyFont="1" applyBorder="1" applyAlignment="1">
      <alignment horizontal="left" wrapText="1"/>
    </xf>
    <xf numFmtId="2" fontId="97" fillId="0" borderId="11" xfId="42" applyNumberFormat="1" applyFont="1" applyBorder="1" applyAlignment="1">
      <alignment horizontal="left"/>
    </xf>
    <xf numFmtId="2" fontId="96" fillId="0" borderId="10" xfId="0" applyNumberFormat="1" applyFont="1" applyBorder="1" applyAlignment="1">
      <alignment horizontal="left"/>
    </xf>
    <xf numFmtId="2" fontId="96" fillId="0" borderId="25" xfId="0" applyNumberFormat="1" applyFont="1" applyBorder="1" applyAlignment="1">
      <alignment horizontal="left"/>
    </xf>
    <xf numFmtId="1" fontId="97" fillId="0" borderId="11" xfId="0" applyNumberFormat="1" applyFont="1" applyBorder="1" applyAlignment="1">
      <alignment horizontal="left" vertical="center"/>
    </xf>
    <xf numFmtId="1" fontId="97" fillId="0" borderId="12" xfId="0" applyNumberFormat="1" applyFont="1" applyBorder="1" applyAlignment="1">
      <alignment horizontal="left" vertical="center"/>
    </xf>
    <xf numFmtId="1" fontId="97" fillId="0" borderId="22" xfId="0" applyNumberFormat="1" applyFont="1" applyBorder="1" applyAlignment="1">
      <alignment horizontal="left"/>
    </xf>
    <xf numFmtId="1" fontId="97" fillId="0" borderId="0" xfId="0" applyNumberFormat="1" applyFont="1" applyBorder="1" applyAlignment="1">
      <alignment horizontal="left"/>
    </xf>
    <xf numFmtId="1" fontId="97" fillId="0" borderId="26" xfId="0" applyNumberFormat="1" applyFont="1" applyBorder="1" applyAlignment="1">
      <alignment horizontal="left"/>
    </xf>
    <xf numFmtId="1" fontId="97" fillId="0" borderId="15" xfId="0" applyNumberFormat="1" applyFont="1" applyBorder="1" applyAlignment="1">
      <alignment horizontal="left"/>
    </xf>
    <xf numFmtId="1" fontId="97" fillId="0" borderId="11" xfId="44" applyNumberFormat="1" applyFont="1" applyBorder="1" applyAlignment="1">
      <alignment horizontal="left"/>
    </xf>
    <xf numFmtId="1" fontId="97" fillId="0" borderId="12" xfId="44" applyNumberFormat="1" applyFont="1" applyBorder="1" applyAlignment="1">
      <alignment horizontal="left"/>
    </xf>
    <xf numFmtId="1" fontId="97" fillId="0" borderId="11" xfId="0" applyNumberFormat="1" applyFont="1" applyFill="1" applyBorder="1" applyAlignment="1">
      <alignment horizontal="left"/>
    </xf>
    <xf numFmtId="1" fontId="97" fillId="0" borderId="10" xfId="42" applyNumberFormat="1" applyFont="1" applyBorder="1" applyAlignment="1">
      <alignment horizontal="left"/>
    </xf>
    <xf numFmtId="1" fontId="97" fillId="0" borderId="11" xfId="42" applyNumberFormat="1" applyFont="1" applyBorder="1" applyAlignment="1">
      <alignment horizontal="left"/>
    </xf>
    <xf numFmtId="1" fontId="97" fillId="0" borderId="12" xfId="42" applyNumberFormat="1" applyFont="1" applyBorder="1" applyAlignment="1">
      <alignment horizontal="left"/>
    </xf>
    <xf numFmtId="1" fontId="96" fillId="0" borderId="10" xfId="0" applyNumberFormat="1" applyFont="1" applyBorder="1" applyAlignment="1">
      <alignment horizontal="left"/>
    </xf>
    <xf numFmtId="1" fontId="96" fillId="0" borderId="24" xfId="0" applyNumberFormat="1" applyFont="1" applyBorder="1" applyAlignment="1">
      <alignment horizontal="left"/>
    </xf>
    <xf numFmtId="0" fontId="98" fillId="0" borderId="24" xfId="0" applyFont="1" applyBorder="1" applyAlignment="1">
      <alignment horizontal="left"/>
    </xf>
    <xf numFmtId="1" fontId="96" fillId="0" borderId="13" xfId="0" applyNumberFormat="1" applyFont="1" applyBorder="1" applyAlignment="1">
      <alignment horizontal="left" vertical="center"/>
    </xf>
    <xf numFmtId="1" fontId="96" fillId="0" borderId="11" xfId="0" applyNumberFormat="1" applyFont="1" applyBorder="1" applyAlignment="1">
      <alignment horizontal="left"/>
    </xf>
    <xf numFmtId="1" fontId="96" fillId="0" borderId="22" xfId="0" applyNumberFormat="1" applyFont="1" applyBorder="1" applyAlignment="1">
      <alignment horizontal="left"/>
    </xf>
    <xf numFmtId="1" fontId="91" fillId="0" borderId="0" xfId="0" applyNumberFormat="1" applyFont="1" applyAlignment="1">
      <alignment horizontal="left"/>
    </xf>
    <xf numFmtId="2" fontId="97" fillId="0" borderId="10" xfId="0" applyNumberFormat="1" applyFont="1" applyBorder="1" applyAlignment="1">
      <alignment horizontal="left" vertical="center"/>
    </xf>
    <xf numFmtId="2" fontId="97" fillId="0" borderId="13" xfId="0" applyNumberFormat="1" applyFont="1" applyBorder="1" applyAlignment="1">
      <alignment horizontal="left"/>
    </xf>
    <xf numFmtId="1" fontId="97" fillId="0" borderId="13" xfId="0" applyNumberFormat="1" applyFont="1" applyBorder="1" applyAlignment="1">
      <alignment horizontal="left"/>
    </xf>
    <xf numFmtId="1" fontId="96" fillId="0" borderId="13" xfId="0" applyNumberFormat="1" applyFont="1" applyBorder="1" applyAlignment="1">
      <alignment horizontal="left"/>
    </xf>
    <xf numFmtId="1" fontId="96" fillId="0" borderId="27" xfId="0" applyNumberFormat="1" applyFont="1" applyBorder="1" applyAlignment="1">
      <alignment horizontal="left"/>
    </xf>
    <xf numFmtId="1" fontId="96" fillId="0" borderId="25" xfId="0" applyNumberFormat="1" applyFont="1" applyBorder="1" applyAlignment="1">
      <alignment horizontal="left"/>
    </xf>
    <xf numFmtId="0" fontId="97" fillId="0" borderId="15" xfId="0" applyFont="1" applyBorder="1" applyAlignment="1">
      <alignment horizontal="left"/>
    </xf>
    <xf numFmtId="0" fontId="97" fillId="0" borderId="0" xfId="0" applyFont="1" applyBorder="1" applyAlignment="1">
      <alignment horizontal="left"/>
    </xf>
    <xf numFmtId="2" fontId="96" fillId="0" borderId="10" xfId="0" applyNumberFormat="1" applyFont="1" applyBorder="1" applyAlignment="1">
      <alignment horizontal="left" vertical="center"/>
    </xf>
    <xf numFmtId="2" fontId="96" fillId="0" borderId="13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97" fillId="0" borderId="28" xfId="0" applyNumberFormat="1" applyFont="1" applyBorder="1" applyAlignment="1">
      <alignment horizontal="left" vertical="center"/>
    </xf>
    <xf numFmtId="2" fontId="97" fillId="0" borderId="29" xfId="0" applyNumberFormat="1" applyFont="1" applyBorder="1" applyAlignment="1">
      <alignment horizontal="left"/>
    </xf>
    <xf numFmtId="1" fontId="97" fillId="0" borderId="29" xfId="0" applyNumberFormat="1" applyFont="1" applyBorder="1" applyAlignment="1">
      <alignment horizontal="left"/>
    </xf>
    <xf numFmtId="1" fontId="97" fillId="0" borderId="30" xfId="0" applyNumberFormat="1" applyFont="1" applyBorder="1" applyAlignment="1">
      <alignment horizontal="left"/>
    </xf>
    <xf numFmtId="2" fontId="97" fillId="0" borderId="28" xfId="0" applyNumberFormat="1" applyFont="1" applyBorder="1" applyAlignment="1">
      <alignment horizontal="left"/>
    </xf>
    <xf numFmtId="1" fontId="97" fillId="0" borderId="28" xfId="0" applyNumberFormat="1" applyFont="1" applyBorder="1" applyAlignment="1">
      <alignment horizontal="left"/>
    </xf>
    <xf numFmtId="2" fontId="97" fillId="0" borderId="28" xfId="44" applyNumberFormat="1" applyFont="1" applyBorder="1" applyAlignment="1">
      <alignment horizontal="left"/>
    </xf>
    <xf numFmtId="1" fontId="97" fillId="0" borderId="30" xfId="0" applyNumberFormat="1" applyFont="1" applyFill="1" applyBorder="1" applyAlignment="1">
      <alignment horizontal="left"/>
    </xf>
    <xf numFmtId="1" fontId="97" fillId="0" borderId="28" xfId="42" applyNumberFormat="1" applyFont="1" applyBorder="1" applyAlignment="1">
      <alignment horizontal="left"/>
    </xf>
    <xf numFmtId="1" fontId="97" fillId="0" borderId="30" xfId="42" applyNumberFormat="1" applyFont="1" applyBorder="1" applyAlignment="1">
      <alignment horizontal="left"/>
    </xf>
    <xf numFmtId="1" fontId="96" fillId="0" borderId="28" xfId="0" applyNumberFormat="1" applyFont="1" applyBorder="1" applyAlignment="1">
      <alignment horizontal="left"/>
    </xf>
    <xf numFmtId="1" fontId="96" fillId="0" borderId="29" xfId="0" applyNumberFormat="1" applyFont="1" applyBorder="1" applyAlignment="1">
      <alignment horizontal="left"/>
    </xf>
    <xf numFmtId="0" fontId="97" fillId="0" borderId="31" xfId="0" applyFont="1" applyBorder="1" applyAlignment="1">
      <alignment horizontal="left"/>
    </xf>
    <xf numFmtId="0" fontId="97" fillId="0" borderId="32" xfId="0" applyFont="1" applyBorder="1" applyAlignment="1">
      <alignment horizontal="left"/>
    </xf>
    <xf numFmtId="0" fontId="97" fillId="0" borderId="33" xfId="0" applyFont="1" applyBorder="1" applyAlignment="1">
      <alignment horizontal="left"/>
    </xf>
    <xf numFmtId="1" fontId="97" fillId="0" borderId="33" xfId="0" applyNumberFormat="1" applyFont="1" applyBorder="1" applyAlignment="1">
      <alignment horizontal="left"/>
    </xf>
    <xf numFmtId="1" fontId="97" fillId="0" borderId="32" xfId="0" applyNumberFormat="1" applyFont="1" applyBorder="1" applyAlignment="1">
      <alignment horizontal="left"/>
    </xf>
    <xf numFmtId="1" fontId="97" fillId="0" borderId="31" xfId="0" applyNumberFormat="1" applyFont="1" applyBorder="1" applyAlignment="1">
      <alignment horizontal="left"/>
    </xf>
    <xf numFmtId="1" fontId="96" fillId="0" borderId="34" xfId="0" applyNumberFormat="1" applyFont="1" applyBorder="1" applyAlignment="1">
      <alignment horizontal="left"/>
    </xf>
    <xf numFmtId="1" fontId="96" fillId="0" borderId="35" xfId="0" applyNumberFormat="1" applyFont="1" applyBorder="1" applyAlignment="1">
      <alignment horizontal="left"/>
    </xf>
    <xf numFmtId="0" fontId="97" fillId="0" borderId="26" xfId="0" applyFont="1" applyBorder="1" applyAlignment="1">
      <alignment horizontal="left"/>
    </xf>
    <xf numFmtId="1" fontId="97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98" fillId="0" borderId="36" xfId="0" applyFont="1" applyBorder="1" applyAlignment="1">
      <alignment horizontal="left"/>
    </xf>
    <xf numFmtId="0" fontId="85" fillId="0" borderId="0" xfId="0" applyFont="1" applyAlignment="1">
      <alignment/>
    </xf>
    <xf numFmtId="0" fontId="98" fillId="0" borderId="37" xfId="0" applyFont="1" applyBorder="1" applyAlignment="1">
      <alignment horizontal="left"/>
    </xf>
    <xf numFmtId="0" fontId="96" fillId="0" borderId="16" xfId="0" applyFont="1" applyBorder="1" applyAlignment="1">
      <alignment horizontal="left" vertical="center"/>
    </xf>
    <xf numFmtId="0" fontId="96" fillId="0" borderId="14" xfId="0" applyFont="1" applyBorder="1" applyAlignment="1">
      <alignment horizontal="left" vertical="center"/>
    </xf>
    <xf numFmtId="0" fontId="96" fillId="0" borderId="18" xfId="0" applyFont="1" applyBorder="1" applyAlignment="1">
      <alignment horizontal="left" vertical="center"/>
    </xf>
    <xf numFmtId="0" fontId="96" fillId="0" borderId="17" xfId="0" applyFont="1" applyBorder="1" applyAlignment="1">
      <alignment horizontal="left" vertical="center"/>
    </xf>
    <xf numFmtId="1" fontId="96" fillId="0" borderId="18" xfId="0" applyNumberFormat="1" applyFont="1" applyBorder="1" applyAlignment="1">
      <alignment horizontal="left" vertical="center"/>
    </xf>
    <xf numFmtId="1" fontId="96" fillId="0" borderId="17" xfId="0" applyNumberFormat="1" applyFont="1" applyBorder="1" applyAlignment="1">
      <alignment horizontal="left" vertical="center"/>
    </xf>
    <xf numFmtId="1" fontId="96" fillId="0" borderId="14" xfId="0" applyNumberFormat="1" applyFont="1" applyBorder="1" applyAlignment="1">
      <alignment horizontal="left" vertical="center"/>
    </xf>
    <xf numFmtId="0" fontId="96" fillId="0" borderId="38" xfId="0" applyFont="1" applyBorder="1" applyAlignment="1">
      <alignment horizontal="left" vertical="center"/>
    </xf>
    <xf numFmtId="1" fontId="96" fillId="0" borderId="16" xfId="0" applyNumberFormat="1" applyFont="1" applyBorder="1" applyAlignment="1">
      <alignment horizontal="left" vertical="center"/>
    </xf>
    <xf numFmtId="1" fontId="96" fillId="0" borderId="38" xfId="0" applyNumberFormat="1" applyFont="1" applyBorder="1" applyAlignment="1">
      <alignment horizontal="left" vertical="center"/>
    </xf>
    <xf numFmtId="1" fontId="97" fillId="0" borderId="18" xfId="0" applyNumberFormat="1" applyFont="1" applyBorder="1" applyAlignment="1">
      <alignment horizontal="left"/>
    </xf>
    <xf numFmtId="1" fontId="97" fillId="0" borderId="0" xfId="0" applyNumberFormat="1" applyFont="1" applyAlignment="1">
      <alignment/>
    </xf>
    <xf numFmtId="1" fontId="93" fillId="0" borderId="22" xfId="0" applyNumberFormat="1" applyFont="1" applyBorder="1" applyAlignment="1">
      <alignment horizontal="left"/>
    </xf>
    <xf numFmtId="1" fontId="98" fillId="0" borderId="22" xfId="0" applyNumberFormat="1" applyFont="1" applyBorder="1" applyAlignment="1">
      <alignment horizontal="left"/>
    </xf>
    <xf numFmtId="1" fontId="92" fillId="0" borderId="13" xfId="0" applyNumberFormat="1" applyFont="1" applyBorder="1" applyAlignment="1">
      <alignment horizontal="left"/>
    </xf>
    <xf numFmtId="1" fontId="92" fillId="0" borderId="11" xfId="0" applyNumberFormat="1" applyFont="1" applyBorder="1" applyAlignment="1">
      <alignment horizontal="left"/>
    </xf>
    <xf numFmtId="1" fontId="98" fillId="0" borderId="11" xfId="0" applyNumberFormat="1" applyFont="1" applyBorder="1" applyAlignment="1">
      <alignment horizontal="left"/>
    </xf>
    <xf numFmtId="1" fontId="92" fillId="0" borderId="29" xfId="0" applyNumberFormat="1" applyFont="1" applyBorder="1" applyAlignment="1">
      <alignment horizontal="left"/>
    </xf>
    <xf numFmtId="1" fontId="87" fillId="0" borderId="22" xfId="0" applyNumberFormat="1" applyFont="1" applyBorder="1" applyAlignment="1">
      <alignment horizontal="left" vertical="center"/>
    </xf>
    <xf numFmtId="1" fontId="87" fillId="0" borderId="27" xfId="0" applyNumberFormat="1" applyFont="1" applyBorder="1" applyAlignment="1">
      <alignment horizontal="left" vertical="center"/>
    </xf>
    <xf numFmtId="1" fontId="87" fillId="0" borderId="10" xfId="42" applyNumberFormat="1" applyFont="1" applyBorder="1" applyAlignment="1">
      <alignment horizontal="left"/>
    </xf>
    <xf numFmtId="2" fontId="87" fillId="0" borderId="22" xfId="0" applyNumberFormat="1" applyFont="1" applyBorder="1" applyAlignment="1">
      <alignment horizontal="left"/>
    </xf>
    <xf numFmtId="2" fontId="87" fillId="0" borderId="10" xfId="44" applyNumberFormat="1" applyFont="1" applyBorder="1" applyAlignment="1">
      <alignment horizontal="left"/>
    </xf>
    <xf numFmtId="2" fontId="87" fillId="0" borderId="27" xfId="0" applyNumberFormat="1" applyFont="1" applyBorder="1" applyAlignment="1">
      <alignment horizontal="left" vertical="center"/>
    </xf>
    <xf numFmtId="1" fontId="87" fillId="0" borderId="0" xfId="0" applyNumberFormat="1" applyFont="1" applyFill="1" applyAlignment="1">
      <alignment horizontal="left"/>
    </xf>
    <xf numFmtId="1" fontId="87" fillId="0" borderId="0" xfId="0" applyNumberFormat="1" applyFont="1" applyAlignment="1">
      <alignment/>
    </xf>
    <xf numFmtId="1" fontId="87" fillId="0" borderId="39" xfId="0" applyNumberFormat="1" applyFont="1" applyBorder="1" applyAlignment="1">
      <alignment horizontal="left"/>
    </xf>
    <xf numFmtId="0" fontId="96" fillId="0" borderId="40" xfId="0" applyFont="1" applyBorder="1" applyAlignment="1">
      <alignment horizontal="left" vertical="center"/>
    </xf>
    <xf numFmtId="0" fontId="96" fillId="0" borderId="41" xfId="0" applyFont="1" applyBorder="1" applyAlignment="1">
      <alignment horizontal="left" vertical="center"/>
    </xf>
    <xf numFmtId="0" fontId="96" fillId="0" borderId="42" xfId="0" applyFont="1" applyBorder="1" applyAlignment="1">
      <alignment horizontal="left" vertical="center"/>
    </xf>
    <xf numFmtId="1" fontId="97" fillId="0" borderId="13" xfId="0" applyNumberFormat="1" applyFont="1" applyFill="1" applyBorder="1" applyAlignment="1">
      <alignment horizontal="left"/>
    </xf>
    <xf numFmtId="1" fontId="97" fillId="0" borderId="29" xfId="0" applyNumberFormat="1" applyFont="1" applyFill="1" applyBorder="1" applyAlignment="1">
      <alignment horizontal="left"/>
    </xf>
    <xf numFmtId="1" fontId="93" fillId="0" borderId="11" xfId="0" applyNumberFormat="1" applyFont="1" applyBorder="1" applyAlignment="1">
      <alignment horizontal="left"/>
    </xf>
    <xf numFmtId="1" fontId="93" fillId="0" borderId="10" xfId="0" applyNumberFormat="1" applyFont="1" applyBorder="1" applyAlignment="1">
      <alignment horizontal="left"/>
    </xf>
    <xf numFmtId="0" fontId="97" fillId="0" borderId="43" xfId="0" applyFont="1" applyBorder="1" applyAlignment="1">
      <alignment horizontal="left"/>
    </xf>
    <xf numFmtId="2" fontId="87" fillId="0" borderId="13" xfId="0" applyNumberFormat="1" applyFont="1" applyBorder="1" applyAlignment="1">
      <alignment horizontal="left" vertical="center"/>
    </xf>
    <xf numFmtId="0" fontId="93" fillId="0" borderId="44" xfId="0" applyFont="1" applyBorder="1" applyAlignment="1">
      <alignment horizontal="left"/>
    </xf>
    <xf numFmtId="2" fontId="94" fillId="0" borderId="24" xfId="0" applyNumberFormat="1" applyFont="1" applyBorder="1" applyAlignment="1">
      <alignment horizontal="left"/>
    </xf>
    <xf numFmtId="0" fontId="93" fillId="0" borderId="36" xfId="0" applyFont="1" applyBorder="1" applyAlignment="1">
      <alignment horizontal="left"/>
    </xf>
    <xf numFmtId="2" fontId="92" fillId="0" borderId="28" xfId="0" applyNumberFormat="1" applyFont="1" applyBorder="1" applyAlignment="1">
      <alignment horizontal="left"/>
    </xf>
    <xf numFmtId="2" fontId="92" fillId="0" borderId="30" xfId="0" applyNumberFormat="1" applyFont="1" applyBorder="1" applyAlignment="1">
      <alignment horizontal="left"/>
    </xf>
    <xf numFmtId="2" fontId="92" fillId="0" borderId="45" xfId="0" applyNumberFormat="1" applyFont="1" applyBorder="1" applyAlignment="1">
      <alignment horizontal="left"/>
    </xf>
    <xf numFmtId="2" fontId="92" fillId="0" borderId="29" xfId="0" applyNumberFormat="1" applyFont="1" applyBorder="1" applyAlignment="1">
      <alignment horizontal="left"/>
    </xf>
    <xf numFmtId="2" fontId="92" fillId="0" borderId="28" xfId="0" applyNumberFormat="1" applyFont="1" applyFill="1" applyBorder="1" applyAlignment="1">
      <alignment horizontal="left"/>
    </xf>
    <xf numFmtId="2" fontId="92" fillId="0" borderId="30" xfId="0" applyNumberFormat="1" applyFont="1" applyFill="1" applyBorder="1" applyAlignment="1">
      <alignment horizontal="left"/>
    </xf>
    <xf numFmtId="2" fontId="92" fillId="0" borderId="30" xfId="42" applyNumberFormat="1" applyFont="1" applyBorder="1" applyAlignment="1">
      <alignment horizontal="left"/>
    </xf>
    <xf numFmtId="2" fontId="92" fillId="0" borderId="28" xfId="42" applyNumberFormat="1" applyFont="1" applyBorder="1" applyAlignment="1">
      <alignment horizontal="left"/>
    </xf>
    <xf numFmtId="2" fontId="94" fillId="0" borderId="28" xfId="0" applyNumberFormat="1" applyFont="1" applyBorder="1" applyAlignment="1">
      <alignment horizontal="left"/>
    </xf>
    <xf numFmtId="2" fontId="94" fillId="0" borderId="36" xfId="0" applyNumberFormat="1" applyFont="1" applyBorder="1" applyAlignment="1">
      <alignment horizontal="left"/>
    </xf>
    <xf numFmtId="2" fontId="92" fillId="0" borderId="46" xfId="0" applyNumberFormat="1" applyFont="1" applyBorder="1" applyAlignment="1">
      <alignment horizontal="left"/>
    </xf>
    <xf numFmtId="2" fontId="92" fillId="0" borderId="47" xfId="0" applyNumberFormat="1" applyFont="1" applyBorder="1" applyAlignment="1">
      <alignment horizontal="left"/>
    </xf>
    <xf numFmtId="2" fontId="92" fillId="0" borderId="48" xfId="0" applyNumberFormat="1" applyFont="1" applyBorder="1" applyAlignment="1">
      <alignment horizontal="left"/>
    </xf>
    <xf numFmtId="2" fontId="92" fillId="0" borderId="49" xfId="0" applyNumberFormat="1" applyFont="1" applyBorder="1" applyAlignment="1">
      <alignment horizontal="left"/>
    </xf>
    <xf numFmtId="2" fontId="92" fillId="0" borderId="46" xfId="0" applyNumberFormat="1" applyFont="1" applyFill="1" applyBorder="1" applyAlignment="1">
      <alignment horizontal="left"/>
    </xf>
    <xf numFmtId="2" fontId="92" fillId="0" borderId="47" xfId="0" applyNumberFormat="1" applyFont="1" applyFill="1" applyBorder="1" applyAlignment="1">
      <alignment horizontal="left"/>
    </xf>
    <xf numFmtId="2" fontId="92" fillId="0" borderId="47" xfId="42" applyNumberFormat="1" applyFont="1" applyBorder="1" applyAlignment="1">
      <alignment horizontal="left"/>
    </xf>
    <xf numFmtId="2" fontId="94" fillId="0" borderId="49" xfId="0" applyNumberFormat="1" applyFont="1" applyBorder="1" applyAlignment="1">
      <alignment horizontal="left"/>
    </xf>
    <xf numFmtId="2" fontId="92" fillId="0" borderId="46" xfId="42" applyNumberFormat="1" applyFont="1" applyBorder="1" applyAlignment="1">
      <alignment horizontal="left"/>
    </xf>
    <xf numFmtId="2" fontId="94" fillId="0" borderId="46" xfId="0" applyNumberFormat="1" applyFont="1" applyBorder="1" applyAlignment="1">
      <alignment horizontal="left"/>
    </xf>
    <xf numFmtId="2" fontId="94" fillId="0" borderId="50" xfId="0" applyNumberFormat="1" applyFont="1" applyBorder="1" applyAlignment="1">
      <alignment horizontal="left"/>
    </xf>
    <xf numFmtId="2" fontId="87" fillId="0" borderId="29" xfId="0" applyNumberFormat="1" applyFont="1" applyBorder="1" applyAlignment="1">
      <alignment horizontal="left" vertical="center"/>
    </xf>
    <xf numFmtId="2" fontId="87" fillId="0" borderId="28" xfId="0" applyNumberFormat="1" applyFont="1" applyBorder="1" applyAlignment="1">
      <alignment horizontal="left"/>
    </xf>
    <xf numFmtId="0" fontId="87" fillId="0" borderId="30" xfId="0" applyFont="1" applyBorder="1" applyAlignment="1">
      <alignment horizontal="left"/>
    </xf>
    <xf numFmtId="2" fontId="87" fillId="0" borderId="29" xfId="0" applyNumberFormat="1" applyFont="1" applyBorder="1" applyAlignment="1">
      <alignment horizontal="left"/>
    </xf>
    <xf numFmtId="2" fontId="87" fillId="0" borderId="30" xfId="0" applyNumberFormat="1" applyFont="1" applyBorder="1" applyAlignment="1">
      <alignment horizontal="left"/>
    </xf>
    <xf numFmtId="164" fontId="93" fillId="0" borderId="30" xfId="0" applyNumberFormat="1" applyFont="1" applyBorder="1" applyAlignment="1">
      <alignment horizontal="left"/>
    </xf>
    <xf numFmtId="0" fontId="97" fillId="0" borderId="50" xfId="0" applyFont="1" applyBorder="1" applyAlignment="1">
      <alignment horizontal="left"/>
    </xf>
    <xf numFmtId="2" fontId="88" fillId="0" borderId="49" xfId="0" applyNumberFormat="1" applyFont="1" applyBorder="1" applyAlignment="1">
      <alignment horizontal="left" vertical="center"/>
    </xf>
    <xf numFmtId="2" fontId="88" fillId="0" borderId="47" xfId="0" applyNumberFormat="1" applyFont="1" applyBorder="1" applyAlignment="1">
      <alignment horizontal="left" vertical="center"/>
    </xf>
    <xf numFmtId="2" fontId="88" fillId="0" borderId="46" xfId="0" applyNumberFormat="1" applyFont="1" applyBorder="1" applyAlignment="1">
      <alignment horizontal="left"/>
    </xf>
    <xf numFmtId="0" fontId="88" fillId="0" borderId="47" xfId="0" applyFont="1" applyBorder="1" applyAlignment="1">
      <alignment horizontal="left"/>
    </xf>
    <xf numFmtId="2" fontId="88" fillId="0" borderId="47" xfId="0" applyNumberFormat="1" applyFont="1" applyBorder="1" applyAlignment="1">
      <alignment horizontal="left"/>
    </xf>
    <xf numFmtId="0" fontId="97" fillId="0" borderId="47" xfId="0" applyFont="1" applyBorder="1" applyAlignment="1">
      <alignment horizontal="left"/>
    </xf>
    <xf numFmtId="1" fontId="90" fillId="0" borderId="24" xfId="0" applyNumberFormat="1" applyFont="1" applyFill="1" applyBorder="1" applyAlignment="1">
      <alignment horizontal="left" vertical="top" wrapText="1"/>
    </xf>
    <xf numFmtId="1" fontId="5" fillId="0" borderId="24" xfId="0" applyNumberFormat="1" applyFont="1" applyFill="1" applyBorder="1" applyAlignment="1">
      <alignment horizontal="left" vertical="top" wrapText="1"/>
    </xf>
    <xf numFmtId="1" fontId="5" fillId="0" borderId="51" xfId="0" applyNumberFormat="1" applyFont="1" applyFill="1" applyBorder="1" applyAlignment="1">
      <alignment horizontal="left" vertical="top" wrapText="1"/>
    </xf>
    <xf numFmtId="1" fontId="87" fillId="0" borderId="10" xfId="0" applyNumberFormat="1" applyFont="1" applyFill="1" applyBorder="1" applyAlignment="1">
      <alignment horizontal="left" wrapText="1"/>
    </xf>
    <xf numFmtId="1" fontId="87" fillId="0" borderId="10" xfId="0" applyNumberFormat="1" applyFont="1" applyFill="1" applyBorder="1" applyAlignment="1">
      <alignment horizontal="left" vertical="top" shrinkToFit="1"/>
    </xf>
    <xf numFmtId="1" fontId="87" fillId="0" borderId="10" xfId="0" applyNumberFormat="1" applyFont="1" applyFill="1" applyBorder="1" applyAlignment="1">
      <alignment horizontal="left" vertical="top" wrapText="1"/>
    </xf>
    <xf numFmtId="1" fontId="87" fillId="0" borderId="0" xfId="0" applyNumberFormat="1" applyFont="1" applyBorder="1" applyAlignment="1">
      <alignment horizontal="left"/>
    </xf>
    <xf numFmtId="2" fontId="88" fillId="0" borderId="40" xfId="0" applyNumberFormat="1" applyFont="1" applyBorder="1" applyAlignment="1">
      <alignment horizontal="left"/>
    </xf>
    <xf numFmtId="2" fontId="88" fillId="0" borderId="41" xfId="0" applyNumberFormat="1" applyFont="1" applyBorder="1" applyAlignment="1">
      <alignment horizontal="left"/>
    </xf>
    <xf numFmtId="2" fontId="87" fillId="0" borderId="41" xfId="0" applyNumberFormat="1" applyFont="1" applyBorder="1" applyAlignment="1">
      <alignment horizontal="left"/>
    </xf>
    <xf numFmtId="2" fontId="87" fillId="0" borderId="42" xfId="0" applyNumberFormat="1" applyFont="1" applyBorder="1" applyAlignment="1">
      <alignment horizontal="left"/>
    </xf>
    <xf numFmtId="2" fontId="87" fillId="0" borderId="10" xfId="42" applyNumberFormat="1" applyFont="1" applyBorder="1" applyAlignment="1">
      <alignment horizontal="left"/>
    </xf>
    <xf numFmtId="2" fontId="87" fillId="0" borderId="21" xfId="42" applyNumberFormat="1" applyFont="1" applyBorder="1" applyAlignment="1">
      <alignment horizontal="left"/>
    </xf>
    <xf numFmtId="2" fontId="88" fillId="0" borderId="16" xfId="0" applyNumberFormat="1" applyFont="1" applyBorder="1" applyAlignment="1">
      <alignment horizontal="left" vertical="center"/>
    </xf>
    <xf numFmtId="2" fontId="88" fillId="0" borderId="18" xfId="0" applyNumberFormat="1" applyFont="1" applyBorder="1" applyAlignment="1">
      <alignment horizontal="left" vertical="center"/>
    </xf>
    <xf numFmtId="0" fontId="88" fillId="0" borderId="16" xfId="0" applyFont="1" applyBorder="1" applyAlignment="1">
      <alignment horizontal="left" vertical="center"/>
    </xf>
    <xf numFmtId="0" fontId="88" fillId="0" borderId="14" xfId="0" applyFont="1" applyBorder="1" applyAlignment="1">
      <alignment horizontal="left" vertical="center"/>
    </xf>
    <xf numFmtId="0" fontId="88" fillId="0" borderId="18" xfId="0" applyFont="1" applyBorder="1" applyAlignment="1">
      <alignment horizontal="left" vertical="center"/>
    </xf>
    <xf numFmtId="0" fontId="88" fillId="0" borderId="38" xfId="0" applyFont="1" applyBorder="1" applyAlignment="1">
      <alignment horizontal="left" vertical="center"/>
    </xf>
    <xf numFmtId="0" fontId="88" fillId="0" borderId="17" xfId="0" applyFont="1" applyBorder="1" applyAlignment="1">
      <alignment horizontal="left" vertical="center"/>
    </xf>
    <xf numFmtId="1" fontId="87" fillId="0" borderId="15" xfId="0" applyNumberFormat="1" applyFont="1" applyBorder="1" applyAlignment="1">
      <alignment horizontal="left"/>
    </xf>
    <xf numFmtId="2" fontId="87" fillId="0" borderId="10" xfId="0" applyNumberFormat="1" applyFont="1" applyBorder="1" applyAlignment="1">
      <alignment horizontal="left" vertical="center"/>
    </xf>
    <xf numFmtId="2" fontId="90" fillId="0" borderId="44" xfId="0" applyNumberFormat="1" applyFont="1" applyFill="1" applyBorder="1" applyAlignment="1">
      <alignment horizontal="left" vertical="center" wrapText="1"/>
    </xf>
    <xf numFmtId="2" fontId="87" fillId="0" borderId="52" xfId="0" applyNumberFormat="1" applyFont="1" applyBorder="1" applyAlignment="1">
      <alignment horizontal="left"/>
    </xf>
    <xf numFmtId="2" fontId="87" fillId="0" borderId="40" xfId="0" applyNumberFormat="1" applyFont="1" applyFill="1" applyBorder="1" applyAlignment="1">
      <alignment horizontal="left" vertical="center" wrapText="1"/>
    </xf>
    <xf numFmtId="2" fontId="87" fillId="0" borderId="40" xfId="0" applyNumberFormat="1" applyFont="1" applyBorder="1" applyAlignment="1">
      <alignment horizontal="left"/>
    </xf>
    <xf numFmtId="0" fontId="88" fillId="0" borderId="10" xfId="0" applyFont="1" applyBorder="1" applyAlignment="1">
      <alignment horizontal="left"/>
    </xf>
    <xf numFmtId="0" fontId="88" fillId="0" borderId="16" xfId="0" applyFont="1" applyBorder="1" applyAlignment="1">
      <alignment horizontal="left"/>
    </xf>
    <xf numFmtId="0" fontId="90" fillId="0" borderId="23" xfId="0" applyFont="1" applyBorder="1" applyAlignment="1">
      <alignment horizontal="left"/>
    </xf>
    <xf numFmtId="1" fontId="88" fillId="0" borderId="16" xfId="0" applyNumberFormat="1" applyFont="1" applyBorder="1" applyAlignment="1">
      <alignment horizontal="left"/>
    </xf>
    <xf numFmtId="1" fontId="87" fillId="0" borderId="16" xfId="42" applyNumberFormat="1" applyFont="1" applyBorder="1" applyAlignment="1">
      <alignment horizontal="left"/>
    </xf>
    <xf numFmtId="2" fontId="87" fillId="0" borderId="40" xfId="0" applyNumberFormat="1" applyFont="1" applyBorder="1" applyAlignment="1">
      <alignment horizontal="left" wrapText="1"/>
    </xf>
    <xf numFmtId="2" fontId="87" fillId="0" borderId="10" xfId="0" applyNumberFormat="1" applyFont="1" applyBorder="1" applyAlignment="1">
      <alignment horizontal="left" wrapText="1"/>
    </xf>
    <xf numFmtId="1" fontId="95" fillId="0" borderId="23" xfId="0" applyNumberFormat="1" applyFont="1" applyBorder="1" applyAlignment="1">
      <alignment horizontal="left"/>
    </xf>
    <xf numFmtId="1" fontId="87" fillId="0" borderId="53" xfId="0" applyNumberFormat="1" applyFont="1" applyFill="1" applyBorder="1" applyAlignment="1">
      <alignment horizontal="left"/>
    </xf>
    <xf numFmtId="1" fontId="87" fillId="0" borderId="54" xfId="0" applyNumberFormat="1" applyFont="1" applyFill="1" applyBorder="1" applyAlignment="1">
      <alignment horizontal="left"/>
    </xf>
    <xf numFmtId="0" fontId="88" fillId="0" borderId="11" xfId="0" applyFont="1" applyBorder="1" applyAlignment="1">
      <alignment horizontal="left"/>
    </xf>
    <xf numFmtId="0" fontId="88" fillId="0" borderId="12" xfId="0" applyFont="1" applyBorder="1" applyAlignment="1">
      <alignment horizontal="left"/>
    </xf>
    <xf numFmtId="0" fontId="88" fillId="0" borderId="14" xfId="0" applyFont="1" applyBorder="1" applyAlignment="1">
      <alignment horizontal="left"/>
    </xf>
    <xf numFmtId="0" fontId="91" fillId="0" borderId="15" xfId="0" applyFont="1" applyBorder="1" applyAlignment="1">
      <alignment horizontal="left"/>
    </xf>
    <xf numFmtId="2" fontId="87" fillId="0" borderId="17" xfId="0" applyNumberFormat="1" applyFont="1" applyBorder="1" applyAlignment="1">
      <alignment horizontal="left" vertical="center"/>
    </xf>
    <xf numFmtId="2" fontId="87" fillId="0" borderId="14" xfId="0" applyNumberFormat="1" applyFont="1" applyBorder="1" applyAlignment="1">
      <alignment horizontal="left" vertical="center"/>
    </xf>
    <xf numFmtId="2" fontId="92" fillId="0" borderId="16" xfId="0" applyNumberFormat="1" applyFont="1" applyBorder="1" applyAlignment="1">
      <alignment horizontal="left"/>
    </xf>
    <xf numFmtId="2" fontId="92" fillId="0" borderId="14" xfId="0" applyNumberFormat="1" applyFont="1" applyBorder="1" applyAlignment="1">
      <alignment horizontal="left"/>
    </xf>
    <xf numFmtId="2" fontId="92" fillId="0" borderId="38" xfId="0" applyNumberFormat="1" applyFont="1" applyBorder="1" applyAlignment="1">
      <alignment horizontal="left"/>
    </xf>
    <xf numFmtId="2" fontId="92" fillId="0" borderId="17" xfId="0" applyNumberFormat="1" applyFont="1" applyBorder="1" applyAlignment="1">
      <alignment horizontal="left"/>
    </xf>
    <xf numFmtId="2" fontId="87" fillId="0" borderId="16" xfId="0" applyNumberFormat="1" applyFont="1" applyBorder="1" applyAlignment="1">
      <alignment horizontal="left"/>
    </xf>
    <xf numFmtId="2" fontId="87" fillId="0" borderId="14" xfId="44" applyNumberFormat="1" applyFont="1" applyBorder="1" applyAlignment="1">
      <alignment horizontal="left"/>
    </xf>
    <xf numFmtId="164" fontId="93" fillId="0" borderId="14" xfId="0" applyNumberFormat="1" applyFont="1" applyBorder="1" applyAlignment="1">
      <alignment horizontal="left"/>
    </xf>
    <xf numFmtId="2" fontId="92" fillId="0" borderId="16" xfId="0" applyNumberFormat="1" applyFont="1" applyFill="1" applyBorder="1" applyAlignment="1">
      <alignment horizontal="left"/>
    </xf>
    <xf numFmtId="2" fontId="92" fillId="0" borderId="14" xfId="0" applyNumberFormat="1" applyFont="1" applyFill="1" applyBorder="1" applyAlignment="1">
      <alignment horizontal="left"/>
    </xf>
    <xf numFmtId="2" fontId="92" fillId="0" borderId="14" xfId="42" applyNumberFormat="1" applyFont="1" applyBorder="1" applyAlignment="1">
      <alignment horizontal="left"/>
    </xf>
    <xf numFmtId="2" fontId="94" fillId="0" borderId="17" xfId="0" applyNumberFormat="1" applyFont="1" applyBorder="1" applyAlignment="1">
      <alignment horizontal="left"/>
    </xf>
    <xf numFmtId="2" fontId="92" fillId="0" borderId="16" xfId="42" applyNumberFormat="1" applyFont="1" applyBorder="1" applyAlignment="1">
      <alignment horizontal="left"/>
    </xf>
    <xf numFmtId="2" fontId="94" fillId="0" borderId="16" xfId="0" applyNumberFormat="1" applyFont="1" applyBorder="1" applyAlignment="1">
      <alignment horizontal="left"/>
    </xf>
    <xf numFmtId="2" fontId="94" fillId="0" borderId="37" xfId="0" applyNumberFormat="1" applyFont="1" applyBorder="1" applyAlignment="1">
      <alignment horizontal="left"/>
    </xf>
    <xf numFmtId="0" fontId="97" fillId="0" borderId="55" xfId="0" applyFont="1" applyBorder="1" applyAlignment="1">
      <alignment horizontal="left"/>
    </xf>
    <xf numFmtId="0" fontId="97" fillId="0" borderId="56" xfId="0" applyFont="1" applyBorder="1" applyAlignment="1">
      <alignment horizontal="left"/>
    </xf>
    <xf numFmtId="1" fontId="96" fillId="0" borderId="57" xfId="0" applyNumberFormat="1" applyFont="1" applyBorder="1" applyAlignment="1">
      <alignment horizontal="left"/>
    </xf>
    <xf numFmtId="1" fontId="96" fillId="0" borderId="55" xfId="0" applyNumberFormat="1" applyFont="1" applyBorder="1" applyAlignment="1">
      <alignment horizontal="left"/>
    </xf>
    <xf numFmtId="0" fontId="97" fillId="0" borderId="24" xfId="0" applyFont="1" applyBorder="1" applyAlignment="1">
      <alignment horizontal="left"/>
    </xf>
    <xf numFmtId="0" fontId="93" fillId="0" borderId="53" xfId="0" applyFont="1" applyBorder="1" applyAlignment="1">
      <alignment horizontal="left"/>
    </xf>
    <xf numFmtId="0" fontId="96" fillId="0" borderId="24" xfId="0" applyFont="1" applyBorder="1" applyAlignment="1">
      <alignment horizontal="left"/>
    </xf>
    <xf numFmtId="1" fontId="93" fillId="0" borderId="38" xfId="0" applyNumberFormat="1" applyFont="1" applyBorder="1" applyAlignment="1">
      <alignment horizontal="left"/>
    </xf>
    <xf numFmtId="0" fontId="93" fillId="0" borderId="37" xfId="0" applyFont="1" applyBorder="1" applyAlignment="1">
      <alignment horizontal="left"/>
    </xf>
    <xf numFmtId="0" fontId="96" fillId="0" borderId="19" xfId="0" applyFont="1" applyBorder="1" applyAlignment="1">
      <alignment horizontal="left" vertical="center"/>
    </xf>
    <xf numFmtId="0" fontId="97" fillId="0" borderId="18" xfId="0" applyFont="1" applyBorder="1" applyAlignment="1">
      <alignment horizontal="left"/>
    </xf>
    <xf numFmtId="1" fontId="97" fillId="0" borderId="10" xfId="0" applyNumberFormat="1" applyFont="1" applyBorder="1" applyAlignment="1">
      <alignment horizontal="left" vertical="center"/>
    </xf>
    <xf numFmtId="2" fontId="97" fillId="0" borderId="13" xfId="0" applyNumberFormat="1" applyFont="1" applyFill="1" applyBorder="1" applyAlignment="1">
      <alignment horizontal="left"/>
    </xf>
    <xf numFmtId="2" fontId="97" fillId="0" borderId="13" xfId="42" applyNumberFormat="1" applyFont="1" applyBorder="1" applyAlignment="1">
      <alignment horizontal="left"/>
    </xf>
    <xf numFmtId="1" fontId="97" fillId="0" borderId="13" xfId="42" applyNumberFormat="1" applyFont="1" applyBorder="1" applyAlignment="1">
      <alignment horizontal="left"/>
    </xf>
    <xf numFmtId="1" fontId="87" fillId="0" borderId="22" xfId="0" applyNumberFormat="1" applyFont="1" applyFill="1" applyBorder="1" applyAlignment="1">
      <alignment horizontal="left"/>
    </xf>
    <xf numFmtId="0" fontId="99" fillId="0" borderId="23" xfId="0" applyFont="1" applyBorder="1" applyAlignment="1">
      <alignment horizontal="left"/>
    </xf>
    <xf numFmtId="0" fontId="100" fillId="0" borderId="0" xfId="0" applyFont="1" applyAlignment="1">
      <alignment horizontal="left"/>
    </xf>
    <xf numFmtId="0" fontId="101" fillId="0" borderId="0" xfId="0" applyFont="1" applyAlignment="1">
      <alignment horizontal="left"/>
    </xf>
    <xf numFmtId="2" fontId="99" fillId="0" borderId="10" xfId="0" applyNumberFormat="1" applyFont="1" applyBorder="1" applyAlignment="1">
      <alignment horizontal="left" vertical="center"/>
    </xf>
    <xf numFmtId="2" fontId="99" fillId="0" borderId="13" xfId="0" applyNumberFormat="1" applyFont="1" applyBorder="1" applyAlignment="1">
      <alignment horizontal="left" vertical="center"/>
    </xf>
    <xf numFmtId="2" fontId="99" fillId="0" borderId="25" xfId="0" applyNumberFormat="1" applyFont="1" applyBorder="1" applyAlignment="1">
      <alignment horizontal="left" vertical="center"/>
    </xf>
    <xf numFmtId="2" fontId="99" fillId="0" borderId="27" xfId="0" applyNumberFormat="1" applyFont="1" applyBorder="1" applyAlignment="1">
      <alignment horizontal="left" vertical="center"/>
    </xf>
    <xf numFmtId="2" fontId="99" fillId="0" borderId="11" xfId="0" applyNumberFormat="1" applyFont="1" applyBorder="1" applyAlignment="1">
      <alignment horizontal="left" vertical="center"/>
    </xf>
    <xf numFmtId="2" fontId="99" fillId="0" borderId="12" xfId="0" applyNumberFormat="1" applyFont="1" applyBorder="1" applyAlignment="1">
      <alignment horizontal="left" vertical="center"/>
    </xf>
    <xf numFmtId="2" fontId="99" fillId="0" borderId="16" xfId="0" applyNumberFormat="1" applyFont="1" applyBorder="1" applyAlignment="1">
      <alignment horizontal="left" vertical="center"/>
    </xf>
    <xf numFmtId="2" fontId="99" fillId="0" borderId="10" xfId="42" applyNumberFormat="1" applyFont="1" applyBorder="1" applyAlignment="1">
      <alignment horizontal="left"/>
    </xf>
    <xf numFmtId="0" fontId="99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101" fillId="0" borderId="50" xfId="0" applyFont="1" applyBorder="1" applyAlignment="1">
      <alignment horizontal="left"/>
    </xf>
    <xf numFmtId="2" fontId="99" fillId="0" borderId="49" xfId="0" applyNumberFormat="1" applyFont="1" applyBorder="1" applyAlignment="1">
      <alignment horizontal="left" vertical="center"/>
    </xf>
    <xf numFmtId="2" fontId="99" fillId="0" borderId="52" xfId="0" applyNumberFormat="1" applyFont="1" applyBorder="1" applyAlignment="1">
      <alignment horizontal="left" vertical="center"/>
    </xf>
    <xf numFmtId="2" fontId="99" fillId="0" borderId="46" xfId="0" applyNumberFormat="1" applyFont="1" applyBorder="1" applyAlignment="1">
      <alignment horizontal="left" vertical="center"/>
    </xf>
    <xf numFmtId="2" fontId="99" fillId="0" borderId="58" xfId="0" applyNumberFormat="1" applyFont="1" applyBorder="1" applyAlignment="1">
      <alignment horizontal="left" vertical="center"/>
    </xf>
    <xf numFmtId="2" fontId="103" fillId="0" borderId="49" xfId="0" applyNumberFormat="1" applyFont="1" applyBorder="1" applyAlignment="1">
      <alignment horizontal="left"/>
    </xf>
    <xf numFmtId="2" fontId="103" fillId="0" borderId="46" xfId="42" applyNumberFormat="1" applyFont="1" applyBorder="1" applyAlignment="1">
      <alignment horizontal="left"/>
    </xf>
    <xf numFmtId="2" fontId="103" fillId="0" borderId="46" xfId="0" applyNumberFormat="1" applyFont="1" applyBorder="1" applyAlignment="1">
      <alignment horizontal="left"/>
    </xf>
    <xf numFmtId="2" fontId="103" fillId="0" borderId="50" xfId="0" applyNumberFormat="1" applyFont="1" applyBorder="1" applyAlignment="1">
      <alignment horizontal="left"/>
    </xf>
    <xf numFmtId="0" fontId="104" fillId="0" borderId="0" xfId="0" applyFont="1" applyAlignment="1">
      <alignment horizontal="left"/>
    </xf>
    <xf numFmtId="0" fontId="101" fillId="0" borderId="59" xfId="0" applyFont="1" applyBorder="1" applyAlignment="1">
      <alignment horizontal="left"/>
    </xf>
    <xf numFmtId="2" fontId="99" fillId="0" borderId="60" xfId="0" applyNumberFormat="1" applyFont="1" applyBorder="1" applyAlignment="1">
      <alignment horizontal="left" vertical="center"/>
    </xf>
    <xf numFmtId="2" fontId="99" fillId="0" borderId="61" xfId="0" applyNumberFormat="1" applyFont="1" applyBorder="1" applyAlignment="1">
      <alignment horizontal="left" vertical="center"/>
    </xf>
    <xf numFmtId="2" fontId="99" fillId="0" borderId="62" xfId="0" applyNumberFormat="1" applyFont="1" applyBorder="1" applyAlignment="1">
      <alignment horizontal="left" vertical="center"/>
    </xf>
    <xf numFmtId="2" fontId="99" fillId="0" borderId="63" xfId="0" applyNumberFormat="1" applyFont="1" applyBorder="1" applyAlignment="1">
      <alignment horizontal="left" vertical="center"/>
    </xf>
    <xf numFmtId="2" fontId="103" fillId="0" borderId="60" xfId="0" applyNumberFormat="1" applyFont="1" applyBorder="1" applyAlignment="1">
      <alignment horizontal="left"/>
    </xf>
    <xf numFmtId="2" fontId="103" fillId="0" borderId="62" xfId="0" applyNumberFormat="1" applyFont="1" applyBorder="1" applyAlignment="1">
      <alignment horizontal="left"/>
    </xf>
    <xf numFmtId="2" fontId="103" fillId="0" borderId="59" xfId="0" applyNumberFormat="1" applyFont="1" applyBorder="1" applyAlignment="1">
      <alignment horizontal="left"/>
    </xf>
    <xf numFmtId="0" fontId="87" fillId="0" borderId="0" xfId="0" applyFont="1" applyAlignment="1">
      <alignment/>
    </xf>
    <xf numFmtId="0" fontId="90" fillId="0" borderId="24" xfId="0" applyFont="1" applyBorder="1" applyAlignment="1">
      <alignment horizontal="left"/>
    </xf>
    <xf numFmtId="0" fontId="91" fillId="0" borderId="64" xfId="0" applyFont="1" applyBorder="1" applyAlignment="1">
      <alignment/>
    </xf>
    <xf numFmtId="0" fontId="91" fillId="0" borderId="25" xfId="0" applyFont="1" applyBorder="1" applyAlignment="1">
      <alignment/>
    </xf>
    <xf numFmtId="0" fontId="91" fillId="0" borderId="42" xfId="0" applyFont="1" applyBorder="1" applyAlignment="1">
      <alignment/>
    </xf>
    <xf numFmtId="0" fontId="91" fillId="0" borderId="12" xfId="0" applyFont="1" applyBorder="1" applyAlignment="1">
      <alignment/>
    </xf>
    <xf numFmtId="0" fontId="90" fillId="0" borderId="44" xfId="0" applyFont="1" applyBorder="1" applyAlignment="1">
      <alignment horizontal="left"/>
    </xf>
    <xf numFmtId="0" fontId="91" fillId="0" borderId="65" xfId="0" applyFont="1" applyBorder="1" applyAlignment="1">
      <alignment/>
    </xf>
    <xf numFmtId="0" fontId="91" fillId="0" borderId="27" xfId="0" applyFont="1" applyBorder="1" applyAlignment="1">
      <alignment/>
    </xf>
    <xf numFmtId="0" fontId="91" fillId="0" borderId="44" xfId="0" applyFont="1" applyBorder="1" applyAlignment="1">
      <alignment/>
    </xf>
    <xf numFmtId="0" fontId="91" fillId="0" borderId="24" xfId="0" applyFont="1" applyBorder="1" applyAlignment="1">
      <alignment/>
    </xf>
    <xf numFmtId="0" fontId="91" fillId="0" borderId="66" xfId="0" applyFont="1" applyBorder="1" applyAlignment="1">
      <alignment/>
    </xf>
    <xf numFmtId="0" fontId="91" fillId="0" borderId="13" xfId="0" applyFont="1" applyBorder="1" applyAlignment="1">
      <alignment/>
    </xf>
    <xf numFmtId="0" fontId="92" fillId="0" borderId="0" xfId="0" applyFont="1" applyAlignment="1">
      <alignment/>
    </xf>
    <xf numFmtId="0" fontId="105" fillId="0" borderId="0" xfId="0" applyFont="1" applyAlignment="1">
      <alignment horizontal="left"/>
    </xf>
    <xf numFmtId="2" fontId="92" fillId="0" borderId="24" xfId="0" applyNumberFormat="1" applyFont="1" applyBorder="1" applyAlignment="1">
      <alignment vertical="center"/>
    </xf>
    <xf numFmtId="2" fontId="94" fillId="0" borderId="24" xfId="0" applyNumberFormat="1" applyFont="1" applyBorder="1" applyAlignment="1">
      <alignment vertical="center"/>
    </xf>
    <xf numFmtId="2" fontId="92" fillId="0" borderId="25" xfId="0" applyNumberFormat="1" applyFont="1" applyBorder="1" applyAlignment="1">
      <alignment horizontal="right"/>
    </xf>
    <xf numFmtId="2" fontId="94" fillId="0" borderId="25" xfId="0" applyNumberFormat="1" applyFont="1" applyBorder="1" applyAlignment="1">
      <alignment horizontal="right"/>
    </xf>
    <xf numFmtId="0" fontId="98" fillId="0" borderId="53" xfId="0" applyFont="1" applyBorder="1" applyAlignment="1">
      <alignment horizontal="left"/>
    </xf>
    <xf numFmtId="0" fontId="98" fillId="0" borderId="67" xfId="0" applyFont="1" applyBorder="1" applyAlignment="1">
      <alignment horizontal="left"/>
    </xf>
    <xf numFmtId="0" fontId="94" fillId="0" borderId="19" xfId="0" applyFont="1" applyBorder="1" applyAlignment="1">
      <alignment horizontal="center" vertical="center"/>
    </xf>
    <xf numFmtId="0" fontId="91" fillId="0" borderId="67" xfId="0" applyFont="1" applyBorder="1" applyAlignment="1">
      <alignment/>
    </xf>
    <xf numFmtId="0" fontId="91" fillId="0" borderId="53" xfId="0" applyFont="1" applyBorder="1" applyAlignment="1">
      <alignment/>
    </xf>
    <xf numFmtId="0" fontId="94" fillId="0" borderId="37" xfId="0" applyFont="1" applyBorder="1" applyAlignment="1">
      <alignment horizontal="center" vertical="center"/>
    </xf>
    <xf numFmtId="2" fontId="92" fillId="0" borderId="24" xfId="0" applyNumberFormat="1" applyFont="1" applyBorder="1" applyAlignment="1">
      <alignment horizontal="right"/>
    </xf>
    <xf numFmtId="2" fontId="94" fillId="0" borderId="24" xfId="0" applyNumberFormat="1" applyFont="1" applyBorder="1" applyAlignment="1">
      <alignment horizontal="right"/>
    </xf>
    <xf numFmtId="0" fontId="88" fillId="0" borderId="19" xfId="0" applyFont="1" applyBorder="1" applyAlignment="1">
      <alignment horizontal="center" vertical="center"/>
    </xf>
    <xf numFmtId="2" fontId="87" fillId="0" borderId="25" xfId="0" applyNumberFormat="1" applyFont="1" applyBorder="1" applyAlignment="1">
      <alignment horizontal="right"/>
    </xf>
    <xf numFmtId="2" fontId="88" fillId="0" borderId="25" xfId="0" applyNumberFormat="1" applyFont="1" applyBorder="1" applyAlignment="1">
      <alignment horizontal="right"/>
    </xf>
    <xf numFmtId="0" fontId="87" fillId="0" borderId="26" xfId="0" applyFont="1" applyBorder="1" applyAlignment="1">
      <alignment horizontal="left"/>
    </xf>
    <xf numFmtId="2" fontId="87" fillId="0" borderId="25" xfId="0" applyNumberFormat="1" applyFont="1" applyBorder="1" applyAlignment="1">
      <alignment horizontal="left"/>
    </xf>
    <xf numFmtId="2" fontId="88" fillId="0" borderId="25" xfId="0" applyNumberFormat="1" applyFont="1" applyBorder="1" applyAlignment="1">
      <alignment horizontal="left"/>
    </xf>
    <xf numFmtId="2" fontId="97" fillId="0" borderId="25" xfId="0" applyNumberFormat="1" applyFont="1" applyBorder="1" applyAlignment="1">
      <alignment horizontal="left"/>
    </xf>
    <xf numFmtId="2" fontId="92" fillId="0" borderId="25" xfId="44" applyNumberFormat="1" applyFont="1" applyBorder="1" applyAlignment="1">
      <alignment horizontal="right"/>
    </xf>
    <xf numFmtId="2" fontId="92" fillId="0" borderId="25" xfId="42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92" fillId="0" borderId="25" xfId="0" applyNumberFormat="1" applyFont="1" applyBorder="1" applyAlignment="1">
      <alignment horizontal="right" wrapText="1"/>
    </xf>
    <xf numFmtId="2" fontId="92" fillId="0" borderId="25" xfId="0" applyNumberFormat="1" applyFont="1" applyFill="1" applyBorder="1" applyAlignment="1">
      <alignment horizontal="right"/>
    </xf>
    <xf numFmtId="1" fontId="106" fillId="0" borderId="0" xfId="0" applyNumberFormat="1" applyFont="1" applyAlignment="1">
      <alignment horizontal="left"/>
    </xf>
    <xf numFmtId="0" fontId="107" fillId="0" borderId="0" xfId="0" applyFont="1" applyBorder="1" applyAlignment="1">
      <alignment horizontal="left"/>
    </xf>
    <xf numFmtId="1" fontId="88" fillId="0" borderId="17" xfId="0" applyNumberFormat="1" applyFont="1" applyBorder="1" applyAlignment="1">
      <alignment horizontal="left" vertical="center"/>
    </xf>
    <xf numFmtId="1" fontId="88" fillId="0" borderId="14" xfId="0" applyNumberFormat="1" applyFont="1" applyBorder="1" applyAlignment="1">
      <alignment horizontal="left" vertical="center"/>
    </xf>
    <xf numFmtId="1" fontId="88" fillId="0" borderId="18" xfId="0" applyNumberFormat="1" applyFont="1" applyBorder="1" applyAlignment="1">
      <alignment horizontal="left" vertical="center"/>
    </xf>
    <xf numFmtId="1" fontId="87" fillId="0" borderId="16" xfId="0" applyNumberFormat="1" applyFont="1" applyFill="1" applyBorder="1" applyAlignment="1">
      <alignment horizontal="left" vertical="center" shrinkToFit="1"/>
    </xf>
    <xf numFmtId="1" fontId="88" fillId="0" borderId="16" xfId="0" applyNumberFormat="1" applyFont="1" applyBorder="1" applyAlignment="1">
      <alignment horizontal="left" vertical="center"/>
    </xf>
    <xf numFmtId="1" fontId="88" fillId="0" borderId="37" xfId="0" applyNumberFormat="1" applyFont="1" applyBorder="1" applyAlignment="1">
      <alignment horizontal="left" vertical="center"/>
    </xf>
    <xf numFmtId="0" fontId="107" fillId="0" borderId="68" xfId="0" applyFont="1" applyBorder="1" applyAlignment="1">
      <alignment horizontal="left"/>
    </xf>
    <xf numFmtId="0" fontId="107" fillId="0" borderId="61" xfId="0" applyFont="1" applyBorder="1" applyAlignment="1">
      <alignment horizontal="left"/>
    </xf>
    <xf numFmtId="0" fontId="107" fillId="0" borderId="63" xfId="0" applyFont="1" applyBorder="1" applyAlignment="1">
      <alignment horizontal="left"/>
    </xf>
    <xf numFmtId="0" fontId="107" fillId="0" borderId="33" xfId="0" applyFont="1" applyBorder="1" applyAlignment="1">
      <alignment horizontal="left"/>
    </xf>
    <xf numFmtId="0" fontId="108" fillId="0" borderId="0" xfId="0" applyFont="1" applyAlignment="1">
      <alignment/>
    </xf>
    <xf numFmtId="0" fontId="107" fillId="0" borderId="31" xfId="0" applyFont="1" applyBorder="1" applyAlignment="1">
      <alignment horizontal="left"/>
    </xf>
    <xf numFmtId="0" fontId="107" fillId="0" borderId="32" xfId="0" applyFont="1" applyBorder="1" applyAlignment="1">
      <alignment horizontal="left"/>
    </xf>
    <xf numFmtId="0" fontId="109" fillId="0" borderId="0" xfId="0" applyFont="1" applyAlignment="1">
      <alignment/>
    </xf>
    <xf numFmtId="0" fontId="110" fillId="0" borderId="51" xfId="0" applyFont="1" applyBorder="1" applyAlignment="1">
      <alignment horizontal="left"/>
    </xf>
    <xf numFmtId="1" fontId="110" fillId="0" borderId="21" xfId="0" applyNumberFormat="1" applyFont="1" applyBorder="1" applyAlignment="1">
      <alignment horizontal="left" vertical="center"/>
    </xf>
    <xf numFmtId="1" fontId="110" fillId="0" borderId="39" xfId="0" applyNumberFormat="1" applyFont="1" applyBorder="1" applyAlignment="1">
      <alignment horizontal="left" vertical="center"/>
    </xf>
    <xf numFmtId="1" fontId="110" fillId="0" borderId="69" xfId="0" applyNumberFormat="1" applyFont="1" applyBorder="1" applyAlignment="1">
      <alignment horizontal="left" vertical="center"/>
    </xf>
    <xf numFmtId="1" fontId="110" fillId="0" borderId="70" xfId="0" applyNumberFormat="1" applyFont="1" applyBorder="1" applyAlignment="1">
      <alignment horizontal="left" vertical="center"/>
    </xf>
    <xf numFmtId="1" fontId="110" fillId="0" borderId="71" xfId="0" applyNumberFormat="1" applyFont="1" applyBorder="1" applyAlignment="1">
      <alignment horizontal="left" vertical="center"/>
    </xf>
    <xf numFmtId="1" fontId="110" fillId="0" borderId="69" xfId="0" applyNumberFormat="1" applyFont="1" applyBorder="1" applyAlignment="1">
      <alignment horizontal="left"/>
    </xf>
    <xf numFmtId="1" fontId="110" fillId="0" borderId="21" xfId="0" applyNumberFormat="1" applyFont="1" applyBorder="1" applyAlignment="1">
      <alignment horizontal="left"/>
    </xf>
    <xf numFmtId="1" fontId="110" fillId="0" borderId="51" xfId="0" applyNumberFormat="1" applyFont="1" applyBorder="1" applyAlignment="1">
      <alignment horizontal="left"/>
    </xf>
    <xf numFmtId="2" fontId="110" fillId="0" borderId="69" xfId="0" applyNumberFormat="1" applyFont="1" applyBorder="1" applyAlignment="1">
      <alignment horizontal="left"/>
    </xf>
    <xf numFmtId="1" fontId="110" fillId="0" borderId="69" xfId="0" applyNumberFormat="1" applyFont="1" applyFill="1" applyBorder="1" applyAlignment="1">
      <alignment horizontal="left"/>
    </xf>
    <xf numFmtId="1" fontId="110" fillId="0" borderId="69" xfId="42" applyNumberFormat="1" applyFont="1" applyBorder="1" applyAlignment="1">
      <alignment horizontal="left"/>
    </xf>
    <xf numFmtId="1" fontId="110" fillId="0" borderId="21" xfId="42" applyNumberFormat="1" applyFont="1" applyBorder="1" applyAlignment="1">
      <alignment horizontal="left"/>
    </xf>
    <xf numFmtId="1" fontId="110" fillId="0" borderId="20" xfId="42" applyNumberFormat="1" applyFont="1" applyBorder="1" applyAlignment="1">
      <alignment horizontal="left"/>
    </xf>
    <xf numFmtId="1" fontId="110" fillId="0" borderId="39" xfId="42" applyNumberFormat="1" applyFont="1" applyBorder="1" applyAlignment="1">
      <alignment horizontal="left"/>
    </xf>
    <xf numFmtId="0" fontId="110" fillId="0" borderId="0" xfId="0" applyFont="1" applyAlignment="1">
      <alignment horizontal="left"/>
    </xf>
    <xf numFmtId="1" fontId="111" fillId="0" borderId="0" xfId="0" applyNumberFormat="1" applyFont="1" applyAlignment="1">
      <alignment/>
    </xf>
    <xf numFmtId="1" fontId="97" fillId="0" borderId="10" xfId="0" applyNumberFormat="1" applyFont="1" applyBorder="1" applyAlignment="1">
      <alignment horizontal="left" wrapText="1"/>
    </xf>
    <xf numFmtId="1" fontId="97" fillId="0" borderId="10" xfId="0" applyNumberFormat="1" applyFont="1" applyFill="1" applyBorder="1" applyAlignment="1">
      <alignment horizontal="left"/>
    </xf>
    <xf numFmtId="1" fontId="96" fillId="0" borderId="53" xfId="0" applyNumberFormat="1" applyFont="1" applyBorder="1" applyAlignment="1">
      <alignment horizontal="left" vertical="center"/>
    </xf>
    <xf numFmtId="1" fontId="98" fillId="0" borderId="10" xfId="0" applyNumberFormat="1" applyFont="1" applyBorder="1" applyAlignment="1">
      <alignment horizontal="left"/>
    </xf>
    <xf numFmtId="1" fontId="96" fillId="0" borderId="10" xfId="42" applyNumberFormat="1" applyFont="1" applyBorder="1" applyAlignment="1">
      <alignment horizontal="left"/>
    </xf>
    <xf numFmtId="1" fontId="96" fillId="0" borderId="0" xfId="0" applyNumberFormat="1" applyFont="1" applyAlignment="1">
      <alignment horizontal="left"/>
    </xf>
    <xf numFmtId="1" fontId="96" fillId="0" borderId="24" xfId="0" applyNumberFormat="1" applyFont="1" applyBorder="1" applyAlignment="1">
      <alignment horizontal="left" vertical="center"/>
    </xf>
    <xf numFmtId="1" fontId="97" fillId="0" borderId="28" xfId="0" applyNumberFormat="1" applyFont="1" applyBorder="1" applyAlignment="1">
      <alignment horizontal="left" vertical="center"/>
    </xf>
    <xf numFmtId="1" fontId="97" fillId="0" borderId="28" xfId="0" applyNumberFormat="1" applyFont="1" applyBorder="1" applyAlignment="1">
      <alignment horizontal="left" wrapText="1"/>
    </xf>
    <xf numFmtId="1" fontId="93" fillId="0" borderId="28" xfId="0" applyNumberFormat="1" applyFont="1" applyBorder="1" applyAlignment="1">
      <alignment horizontal="left"/>
    </xf>
    <xf numFmtId="1" fontId="93" fillId="0" borderId="30" xfId="0" applyNumberFormat="1" applyFont="1" applyBorder="1" applyAlignment="1">
      <alignment horizontal="left"/>
    </xf>
    <xf numFmtId="1" fontId="93" fillId="0" borderId="45" xfId="0" applyNumberFormat="1" applyFont="1" applyBorder="1" applyAlignment="1">
      <alignment horizontal="left"/>
    </xf>
    <xf numFmtId="1" fontId="97" fillId="0" borderId="28" xfId="0" applyNumberFormat="1" applyFont="1" applyFill="1" applyBorder="1" applyAlignment="1">
      <alignment horizontal="left"/>
    </xf>
    <xf numFmtId="1" fontId="110" fillId="0" borderId="0" xfId="0" applyNumberFormat="1" applyFont="1" applyAlignment="1">
      <alignment horizontal="left"/>
    </xf>
    <xf numFmtId="1" fontId="96" fillId="0" borderId="36" xfId="0" applyNumberFormat="1" applyFont="1" applyBorder="1" applyAlignment="1">
      <alignment horizontal="left"/>
    </xf>
    <xf numFmtId="1" fontId="110" fillId="0" borderId="62" xfId="0" applyNumberFormat="1" applyFont="1" applyBorder="1" applyAlignment="1">
      <alignment horizontal="left" vertical="center"/>
    </xf>
    <xf numFmtId="1" fontId="110" fillId="0" borderId="68" xfId="0" applyNumberFormat="1" applyFont="1" applyBorder="1" applyAlignment="1">
      <alignment horizontal="left" vertical="center"/>
    </xf>
    <xf numFmtId="1" fontId="110" fillId="0" borderId="60" xfId="0" applyNumberFormat="1" applyFont="1" applyBorder="1" applyAlignment="1">
      <alignment horizontal="left" vertical="center"/>
    </xf>
    <xf numFmtId="1" fontId="110" fillId="0" borderId="72" xfId="0" applyNumberFormat="1" applyFont="1" applyBorder="1" applyAlignment="1">
      <alignment horizontal="left"/>
    </xf>
    <xf numFmtId="1" fontId="110" fillId="0" borderId="62" xfId="0" applyNumberFormat="1" applyFont="1" applyBorder="1" applyAlignment="1">
      <alignment horizontal="left"/>
    </xf>
    <xf numFmtId="1" fontId="110" fillId="0" borderId="60" xfId="0" applyNumberFormat="1" applyFont="1" applyBorder="1" applyAlignment="1">
      <alignment horizontal="left"/>
    </xf>
    <xf numFmtId="1" fontId="110" fillId="0" borderId="62" xfId="42" applyNumberFormat="1" applyFont="1" applyBorder="1" applyAlignment="1">
      <alignment horizontal="left"/>
    </xf>
    <xf numFmtId="1" fontId="110" fillId="0" borderId="60" xfId="42" applyNumberFormat="1" applyFont="1" applyBorder="1" applyAlignment="1">
      <alignment horizontal="left"/>
    </xf>
    <xf numFmtId="1" fontId="110" fillId="0" borderId="59" xfId="0" applyNumberFormat="1" applyFont="1" applyBorder="1" applyAlignment="1">
      <alignment horizontal="left"/>
    </xf>
    <xf numFmtId="1" fontId="107" fillId="0" borderId="68" xfId="0" applyNumberFormat="1" applyFont="1" applyBorder="1" applyAlignment="1">
      <alignment horizontal="left"/>
    </xf>
    <xf numFmtId="1" fontId="111" fillId="0" borderId="0" xfId="0" applyNumberFormat="1" applyFont="1" applyAlignment="1">
      <alignment horizontal="left"/>
    </xf>
    <xf numFmtId="0" fontId="110" fillId="0" borderId="59" xfId="0" applyFont="1" applyBorder="1" applyAlignment="1">
      <alignment horizontal="left"/>
    </xf>
    <xf numFmtId="0" fontId="111" fillId="0" borderId="0" xfId="0" applyFont="1" applyAlignment="1">
      <alignment horizontal="left"/>
    </xf>
    <xf numFmtId="2" fontId="111" fillId="0" borderId="68" xfId="0" applyNumberFormat="1" applyFont="1" applyBorder="1" applyAlignment="1">
      <alignment horizontal="left"/>
    </xf>
    <xf numFmtId="2" fontId="111" fillId="0" borderId="61" xfId="0" applyNumberFormat="1" applyFont="1" applyBorder="1" applyAlignment="1">
      <alignment horizontal="left"/>
    </xf>
    <xf numFmtId="2" fontId="111" fillId="0" borderId="63" xfId="0" applyNumberFormat="1" applyFont="1" applyBorder="1" applyAlignment="1">
      <alignment horizontal="left"/>
    </xf>
    <xf numFmtId="1" fontId="111" fillId="0" borderId="63" xfId="0" applyNumberFormat="1" applyFont="1" applyBorder="1" applyAlignment="1">
      <alignment horizontal="left"/>
    </xf>
    <xf numFmtId="1" fontId="111" fillId="0" borderId="61" xfId="0" applyNumberFormat="1" applyFont="1" applyBorder="1" applyAlignment="1">
      <alignment horizontal="left"/>
    </xf>
    <xf numFmtId="1" fontId="111" fillId="0" borderId="68" xfId="0" applyNumberFormat="1" applyFont="1" applyBorder="1" applyAlignment="1">
      <alignment horizontal="left"/>
    </xf>
    <xf numFmtId="2" fontId="111" fillId="0" borderId="60" xfId="0" applyNumberFormat="1" applyFont="1" applyBorder="1" applyAlignment="1">
      <alignment horizontal="left"/>
    </xf>
    <xf numFmtId="2" fontId="111" fillId="0" borderId="72" xfId="0" applyNumberFormat="1" applyFont="1" applyBorder="1" applyAlignment="1">
      <alignment horizontal="left"/>
    </xf>
    <xf numFmtId="0" fontId="107" fillId="0" borderId="51" xfId="0" applyFont="1" applyBorder="1" applyAlignment="1">
      <alignment horizontal="left"/>
    </xf>
    <xf numFmtId="0" fontId="108" fillId="0" borderId="71" xfId="0" applyFont="1" applyBorder="1" applyAlignment="1">
      <alignment/>
    </xf>
    <xf numFmtId="0" fontId="106" fillId="0" borderId="71" xfId="0" applyFont="1" applyBorder="1" applyAlignment="1">
      <alignment horizontal="left"/>
    </xf>
    <xf numFmtId="0" fontId="106" fillId="0" borderId="39" xfId="0" applyFont="1" applyBorder="1" applyAlignment="1">
      <alignment horizontal="left"/>
    </xf>
    <xf numFmtId="0" fontId="106" fillId="0" borderId="0" xfId="0" applyFont="1" applyAlignment="1">
      <alignment horizontal="left"/>
    </xf>
    <xf numFmtId="0" fontId="90" fillId="0" borderId="53" xfId="0" applyFont="1" applyBorder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1" fontId="97" fillId="0" borderId="73" xfId="0" applyNumberFormat="1" applyFont="1" applyBorder="1" applyAlignment="1">
      <alignment horizontal="left"/>
    </xf>
    <xf numFmtId="1" fontId="97" fillId="0" borderId="46" xfId="0" applyNumberFormat="1" applyFont="1" applyBorder="1" applyAlignment="1">
      <alignment horizontal="left"/>
    </xf>
    <xf numFmtId="1" fontId="111" fillId="0" borderId="62" xfId="0" applyNumberFormat="1" applyFont="1" applyBorder="1" applyAlignment="1">
      <alignment horizontal="left"/>
    </xf>
    <xf numFmtId="1" fontId="111" fillId="0" borderId="73" xfId="0" applyNumberFormat="1" applyFont="1" applyBorder="1" applyAlignment="1">
      <alignment horizontal="left"/>
    </xf>
    <xf numFmtId="1" fontId="97" fillId="0" borderId="74" xfId="0" applyNumberFormat="1" applyFont="1" applyBorder="1" applyAlignment="1">
      <alignment horizontal="left"/>
    </xf>
    <xf numFmtId="1" fontId="97" fillId="0" borderId="55" xfId="0" applyNumberFormat="1" applyFont="1" applyBorder="1" applyAlignment="1">
      <alignment horizontal="left"/>
    </xf>
    <xf numFmtId="1" fontId="97" fillId="0" borderId="60" xfId="0" applyNumberFormat="1" applyFont="1" applyBorder="1" applyAlignment="1">
      <alignment horizontal="left"/>
    </xf>
    <xf numFmtId="1" fontId="111" fillId="0" borderId="60" xfId="0" applyNumberFormat="1" applyFont="1" applyBorder="1" applyAlignment="1">
      <alignment horizontal="left"/>
    </xf>
    <xf numFmtId="0" fontId="97" fillId="0" borderId="62" xfId="0" applyFont="1" applyBorder="1" applyAlignment="1">
      <alignment horizontal="left"/>
    </xf>
    <xf numFmtId="2" fontId="97" fillId="0" borderId="57" xfId="0" applyNumberFormat="1" applyFont="1" applyBorder="1" applyAlignment="1">
      <alignment horizontal="left"/>
    </xf>
    <xf numFmtId="2" fontId="111" fillId="0" borderId="34" xfId="0" applyNumberFormat="1" applyFont="1" applyBorder="1" applyAlignment="1">
      <alignment horizontal="left"/>
    </xf>
    <xf numFmtId="0" fontId="97" fillId="0" borderId="60" xfId="0" applyFont="1" applyBorder="1" applyAlignment="1">
      <alignment horizontal="left"/>
    </xf>
    <xf numFmtId="2" fontId="97" fillId="0" borderId="55" xfId="0" applyNumberFormat="1" applyFont="1" applyBorder="1" applyAlignment="1">
      <alignment horizontal="left"/>
    </xf>
    <xf numFmtId="2" fontId="111" fillId="0" borderId="35" xfId="0" applyNumberFormat="1" applyFont="1" applyBorder="1" applyAlignment="1">
      <alignment horizontal="left"/>
    </xf>
    <xf numFmtId="0" fontId="97" fillId="0" borderId="73" xfId="0" applyFont="1" applyBorder="1" applyAlignment="1">
      <alignment horizontal="left"/>
    </xf>
    <xf numFmtId="2" fontId="97" fillId="0" borderId="74" xfId="0" applyNumberFormat="1" applyFont="1" applyBorder="1" applyAlignment="1">
      <alignment horizontal="left"/>
    </xf>
    <xf numFmtId="2" fontId="111" fillId="0" borderId="75" xfId="0" applyNumberFormat="1" applyFont="1" applyBorder="1" applyAlignment="1">
      <alignment horizontal="left"/>
    </xf>
    <xf numFmtId="1" fontId="96" fillId="0" borderId="58" xfId="0" applyNumberFormat="1" applyFont="1" applyFill="1" applyBorder="1" applyAlignment="1">
      <alignment horizontal="center" vertical="justify" wrapText="1"/>
    </xf>
    <xf numFmtId="1" fontId="110" fillId="0" borderId="59" xfId="0" applyNumberFormat="1" applyFont="1" applyBorder="1" applyAlignment="1">
      <alignment horizontal="center" vertical="justify" wrapText="1"/>
    </xf>
    <xf numFmtId="0" fontId="95" fillId="0" borderId="15" xfId="0" applyFont="1" applyBorder="1" applyAlignment="1">
      <alignment horizontal="left"/>
    </xf>
    <xf numFmtId="2" fontId="87" fillId="0" borderId="45" xfId="0" applyNumberFormat="1" applyFont="1" applyBorder="1" applyAlignment="1">
      <alignment horizontal="left"/>
    </xf>
    <xf numFmtId="2" fontId="87" fillId="0" borderId="16" xfId="44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92" fillId="0" borderId="16" xfId="0" applyNumberFormat="1" applyFont="1" applyBorder="1" applyAlignment="1">
      <alignment horizontal="left" wrapText="1"/>
    </xf>
    <xf numFmtId="2" fontId="92" fillId="0" borderId="10" xfId="0" applyNumberFormat="1" applyFont="1" applyBorder="1" applyAlignment="1">
      <alignment horizontal="left" wrapText="1"/>
    </xf>
    <xf numFmtId="2" fontId="92" fillId="0" borderId="28" xfId="0" applyNumberFormat="1" applyFont="1" applyBorder="1" applyAlignment="1">
      <alignment horizontal="left" wrapText="1"/>
    </xf>
    <xf numFmtId="2" fontId="92" fillId="0" borderId="46" xfId="0" applyNumberFormat="1" applyFont="1" applyBorder="1" applyAlignment="1">
      <alignment horizontal="left" wrapText="1"/>
    </xf>
    <xf numFmtId="1" fontId="87" fillId="0" borderId="28" xfId="0" applyNumberFormat="1" applyFont="1" applyBorder="1" applyAlignment="1">
      <alignment horizontal="left" vertical="center"/>
    </xf>
    <xf numFmtId="1" fontId="87" fillId="0" borderId="30" xfId="0" applyNumberFormat="1" applyFont="1" applyBorder="1" applyAlignment="1">
      <alignment horizontal="left" vertical="center"/>
    </xf>
    <xf numFmtId="1" fontId="87" fillId="0" borderId="29" xfId="0" applyNumberFormat="1" applyFont="1" applyBorder="1" applyAlignment="1">
      <alignment horizontal="left"/>
    </xf>
    <xf numFmtId="1" fontId="87" fillId="0" borderId="30" xfId="0" applyNumberFormat="1" applyFont="1" applyBorder="1" applyAlignment="1">
      <alignment horizontal="left"/>
    </xf>
    <xf numFmtId="1" fontId="87" fillId="0" borderId="76" xfId="0" applyNumberFormat="1" applyFont="1" applyBorder="1" applyAlignment="1">
      <alignment horizontal="left"/>
    </xf>
    <xf numFmtId="1" fontId="87" fillId="0" borderId="28" xfId="0" applyNumberFormat="1" applyFont="1" applyBorder="1" applyAlignment="1">
      <alignment horizontal="left"/>
    </xf>
    <xf numFmtId="2" fontId="87" fillId="0" borderId="28" xfId="0" applyNumberFormat="1" applyFont="1" applyBorder="1" applyAlignment="1">
      <alignment horizontal="left" wrapText="1"/>
    </xf>
    <xf numFmtId="1" fontId="87" fillId="0" borderId="29" xfId="42" applyNumberFormat="1" applyFont="1" applyBorder="1" applyAlignment="1">
      <alignment horizontal="left"/>
    </xf>
    <xf numFmtId="1" fontId="87" fillId="0" borderId="28" xfId="42" applyNumberFormat="1" applyFont="1" applyBorder="1" applyAlignment="1">
      <alignment horizontal="left"/>
    </xf>
    <xf numFmtId="1" fontId="88" fillId="0" borderId="26" xfId="0" applyNumberFormat="1" applyFont="1" applyBorder="1" applyAlignment="1">
      <alignment horizontal="left"/>
    </xf>
    <xf numFmtId="1" fontId="99" fillId="0" borderId="62" xfId="0" applyNumberFormat="1" applyFont="1" applyBorder="1" applyAlignment="1">
      <alignment horizontal="left" vertical="center"/>
    </xf>
    <xf numFmtId="1" fontId="99" fillId="0" borderId="68" xfId="0" applyNumberFormat="1" applyFont="1" applyBorder="1" applyAlignment="1">
      <alignment horizontal="left" vertical="center"/>
    </xf>
    <xf numFmtId="1" fontId="99" fillId="0" borderId="72" xfId="0" applyNumberFormat="1" applyFont="1" applyBorder="1" applyAlignment="1">
      <alignment horizontal="left" vertical="center"/>
    </xf>
    <xf numFmtId="1" fontId="99" fillId="0" borderId="73" xfId="0" applyNumberFormat="1" applyFont="1" applyBorder="1" applyAlignment="1">
      <alignment horizontal="left" vertical="center"/>
    </xf>
    <xf numFmtId="1" fontId="99" fillId="0" borderId="60" xfId="0" applyNumberFormat="1" applyFont="1" applyBorder="1" applyAlignment="1">
      <alignment horizontal="left" vertical="center"/>
    </xf>
    <xf numFmtId="1" fontId="99" fillId="0" borderId="59" xfId="0" applyNumberFormat="1" applyFont="1" applyBorder="1" applyAlignment="1">
      <alignment horizontal="left" vertical="center"/>
    </xf>
    <xf numFmtId="1" fontId="99" fillId="0" borderId="62" xfId="0" applyNumberFormat="1" applyFont="1" applyBorder="1" applyAlignment="1">
      <alignment horizontal="left"/>
    </xf>
    <xf numFmtId="1" fontId="99" fillId="0" borderId="72" xfId="0" applyNumberFormat="1" applyFont="1" applyBorder="1" applyAlignment="1">
      <alignment horizontal="left"/>
    </xf>
    <xf numFmtId="1" fontId="100" fillId="0" borderId="62" xfId="42" applyNumberFormat="1" applyFont="1" applyBorder="1" applyAlignment="1">
      <alignment horizontal="left"/>
    </xf>
    <xf numFmtId="1" fontId="100" fillId="0" borderId="63" xfId="42" applyNumberFormat="1" applyFont="1" applyBorder="1" applyAlignment="1">
      <alignment horizontal="left"/>
    </xf>
    <xf numFmtId="1" fontId="99" fillId="0" borderId="63" xfId="0" applyNumberFormat="1" applyFont="1" applyBorder="1" applyAlignment="1">
      <alignment horizontal="left"/>
    </xf>
    <xf numFmtId="1" fontId="88" fillId="0" borderId="28" xfId="0" applyNumberFormat="1" applyFont="1" applyBorder="1" applyAlignment="1">
      <alignment horizontal="left" vertical="center"/>
    </xf>
    <xf numFmtId="1" fontId="88" fillId="0" borderId="77" xfId="0" applyNumberFormat="1" applyFont="1" applyBorder="1" applyAlignment="1">
      <alignment horizontal="left" vertical="center"/>
    </xf>
    <xf numFmtId="1" fontId="88" fillId="0" borderId="29" xfId="0" applyNumberFormat="1" applyFont="1" applyBorder="1" applyAlignment="1">
      <alignment horizontal="left"/>
    </xf>
    <xf numFmtId="1" fontId="2" fillId="0" borderId="76" xfId="0" applyNumberFormat="1" applyFont="1" applyBorder="1" applyAlignment="1">
      <alignment horizontal="left"/>
    </xf>
    <xf numFmtId="1" fontId="87" fillId="0" borderId="28" xfId="0" applyNumberFormat="1" applyFont="1" applyFill="1" applyBorder="1" applyAlignment="1">
      <alignment horizontal="left" vertical="top" wrapText="1"/>
    </xf>
    <xf numFmtId="1" fontId="88" fillId="0" borderId="29" xfId="0" applyNumberFormat="1" applyFont="1" applyBorder="1" applyAlignment="1">
      <alignment horizontal="left" vertical="center"/>
    </xf>
    <xf numFmtId="1" fontId="88" fillId="0" borderId="28" xfId="0" applyNumberFormat="1" applyFont="1" applyBorder="1" applyAlignment="1">
      <alignment horizontal="left"/>
    </xf>
    <xf numFmtId="1" fontId="96" fillId="0" borderId="58" xfId="0" applyNumberFormat="1" applyFont="1" applyFill="1" applyBorder="1" applyAlignment="1">
      <alignment horizontal="center" vertical="center" wrapText="1"/>
    </xf>
    <xf numFmtId="1" fontId="110" fillId="0" borderId="39" xfId="0" applyNumberFormat="1" applyFont="1" applyBorder="1" applyAlignment="1">
      <alignment horizontal="left"/>
    </xf>
    <xf numFmtId="3" fontId="110" fillId="0" borderId="39" xfId="0" applyNumberFormat="1" applyFont="1" applyBorder="1" applyAlignment="1">
      <alignment horizontal="left"/>
    </xf>
    <xf numFmtId="0" fontId="94" fillId="0" borderId="78" xfId="0" applyFont="1" applyBorder="1" applyAlignment="1">
      <alignment horizontal="center" vertical="center"/>
    </xf>
    <xf numFmtId="0" fontId="93" fillId="0" borderId="54" xfId="0" applyFont="1" applyBorder="1" applyAlignment="1">
      <alignment horizontal="left"/>
    </xf>
    <xf numFmtId="0" fontId="91" fillId="0" borderId="54" xfId="0" applyFont="1" applyBorder="1" applyAlignment="1">
      <alignment/>
    </xf>
    <xf numFmtId="2" fontId="92" fillId="0" borderId="77" xfId="0" applyNumberFormat="1" applyFont="1" applyBorder="1" applyAlignment="1">
      <alignment horizontal="right"/>
    </xf>
    <xf numFmtId="2" fontId="92" fillId="0" borderId="36" xfId="0" applyNumberFormat="1" applyFont="1" applyBorder="1" applyAlignment="1">
      <alignment horizontal="right"/>
    </xf>
    <xf numFmtId="2" fontId="87" fillId="0" borderId="77" xfId="0" applyNumberFormat="1" applyFont="1" applyBorder="1" applyAlignment="1">
      <alignment horizontal="right"/>
    </xf>
    <xf numFmtId="2" fontId="97" fillId="0" borderId="77" xfId="0" applyNumberFormat="1" applyFont="1" applyBorder="1" applyAlignment="1">
      <alignment horizontal="left"/>
    </xf>
    <xf numFmtId="2" fontId="92" fillId="0" borderId="77" xfId="42" applyNumberFormat="1" applyFont="1" applyBorder="1" applyAlignment="1">
      <alignment horizontal="right"/>
    </xf>
    <xf numFmtId="2" fontId="92" fillId="0" borderId="77" xfId="0" applyNumberFormat="1" applyFont="1" applyBorder="1" applyAlignment="1">
      <alignment horizontal="right" wrapText="1"/>
    </xf>
    <xf numFmtId="2" fontId="92" fillId="0" borderId="77" xfId="0" applyNumberFormat="1" applyFont="1" applyFill="1" applyBorder="1" applyAlignment="1">
      <alignment horizontal="right"/>
    </xf>
    <xf numFmtId="0" fontId="112" fillId="0" borderId="68" xfId="0" applyFont="1" applyBorder="1" applyAlignment="1">
      <alignment horizontal="center" vertical="center"/>
    </xf>
    <xf numFmtId="1" fontId="95" fillId="0" borderId="18" xfId="0" applyNumberFormat="1" applyFont="1" applyBorder="1" applyAlignment="1">
      <alignment horizontal="left"/>
    </xf>
    <xf numFmtId="1" fontId="88" fillId="0" borderId="0" xfId="0" applyNumberFormat="1" applyFont="1" applyAlignment="1">
      <alignment horizontal="left"/>
    </xf>
    <xf numFmtId="1" fontId="88" fillId="0" borderId="13" xfId="44" applyNumberFormat="1" applyFont="1" applyBorder="1" applyAlignment="1">
      <alignment horizontal="left"/>
    </xf>
    <xf numFmtId="1" fontId="88" fillId="0" borderId="13" xfId="0" applyNumberFormat="1" applyFont="1" applyBorder="1" applyAlignment="1">
      <alignment horizontal="left" wrapText="1"/>
    </xf>
    <xf numFmtId="1" fontId="88" fillId="0" borderId="13" xfId="0" applyNumberFormat="1" applyFont="1" applyFill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88" fillId="0" borderId="38" xfId="0" applyNumberFormat="1" applyFont="1" applyBorder="1" applyAlignment="1">
      <alignment horizontal="left" vertical="center"/>
    </xf>
    <xf numFmtId="0" fontId="99" fillId="0" borderId="59" xfId="0" applyFont="1" applyBorder="1" applyAlignment="1">
      <alignment horizontal="left"/>
    </xf>
    <xf numFmtId="1" fontId="87" fillId="0" borderId="19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" fontId="2" fillId="0" borderId="57" xfId="0" applyNumberFormat="1" applyFont="1" applyBorder="1" applyAlignment="1">
      <alignment horizontal="left" vertical="center"/>
    </xf>
    <xf numFmtId="1" fontId="2" fillId="0" borderId="56" xfId="0" applyNumberFormat="1" applyFont="1" applyBorder="1" applyAlignment="1">
      <alignment horizontal="left" vertical="center"/>
    </xf>
    <xf numFmtId="1" fontId="5" fillId="0" borderId="55" xfId="0" applyNumberFormat="1" applyFont="1" applyBorder="1" applyAlignment="1">
      <alignment horizontal="left"/>
    </xf>
    <xf numFmtId="1" fontId="5" fillId="0" borderId="56" xfId="0" applyNumberFormat="1" applyFont="1" applyBorder="1" applyAlignment="1">
      <alignment horizontal="left"/>
    </xf>
    <xf numFmtId="1" fontId="5" fillId="0" borderId="74" xfId="0" applyNumberFormat="1" applyFont="1" applyBorder="1" applyAlignment="1">
      <alignment horizontal="left"/>
    </xf>
    <xf numFmtId="1" fontId="5" fillId="0" borderId="57" xfId="0" applyNumberFormat="1" applyFont="1" applyBorder="1" applyAlignment="1">
      <alignment horizontal="left"/>
    </xf>
    <xf numFmtId="1" fontId="2" fillId="0" borderId="55" xfId="0" applyNumberFormat="1" applyFont="1" applyBorder="1" applyAlignment="1">
      <alignment horizontal="left"/>
    </xf>
    <xf numFmtId="1" fontId="2" fillId="0" borderId="56" xfId="0" applyNumberFormat="1" applyFont="1" applyBorder="1" applyAlignment="1">
      <alignment horizontal="left"/>
    </xf>
    <xf numFmtId="1" fontId="2" fillId="0" borderId="74" xfId="0" applyNumberFormat="1" applyFont="1" applyBorder="1" applyAlignment="1">
      <alignment horizontal="left"/>
    </xf>
    <xf numFmtId="1" fontId="2" fillId="0" borderId="57" xfId="0" applyNumberFormat="1" applyFont="1" applyBorder="1" applyAlignment="1">
      <alignment horizontal="left"/>
    </xf>
    <xf numFmtId="2" fontId="5" fillId="0" borderId="57" xfId="0" applyNumberFormat="1" applyFont="1" applyBorder="1" applyAlignment="1">
      <alignment horizontal="left" wrapText="1"/>
    </xf>
    <xf numFmtId="0" fontId="5" fillId="0" borderId="74" xfId="0" applyFont="1" applyBorder="1" applyAlignment="1">
      <alignment horizontal="left"/>
    </xf>
    <xf numFmtId="1" fontId="5" fillId="0" borderId="74" xfId="0" applyNumberFormat="1" applyFont="1" applyFill="1" applyBorder="1" applyAlignment="1">
      <alignment horizontal="left"/>
    </xf>
    <xf numFmtId="1" fontId="5" fillId="0" borderId="55" xfId="42" applyNumberFormat="1" applyFont="1" applyBorder="1" applyAlignment="1">
      <alignment horizontal="left"/>
    </xf>
    <xf numFmtId="1" fontId="5" fillId="0" borderId="56" xfId="42" applyNumberFormat="1" applyFont="1" applyBorder="1" applyAlignment="1">
      <alignment horizontal="left"/>
    </xf>
    <xf numFmtId="1" fontId="5" fillId="0" borderId="74" xfId="42" applyNumberFormat="1" applyFont="1" applyBorder="1" applyAlignment="1">
      <alignment horizontal="left"/>
    </xf>
    <xf numFmtId="1" fontId="5" fillId="0" borderId="57" xfId="42" applyNumberFormat="1" applyFont="1" applyBorder="1" applyAlignment="1">
      <alignment horizontal="left"/>
    </xf>
    <xf numFmtId="1" fontId="2" fillId="0" borderId="26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" fontId="88" fillId="0" borderId="76" xfId="0" applyNumberFormat="1" applyFont="1" applyBorder="1" applyAlignment="1">
      <alignment horizontal="left" vertical="center"/>
    </xf>
    <xf numFmtId="1" fontId="99" fillId="0" borderId="79" xfId="0" applyNumberFormat="1" applyFont="1" applyBorder="1" applyAlignment="1">
      <alignment horizontal="left" vertical="center"/>
    </xf>
    <xf numFmtId="1" fontId="88" fillId="0" borderId="30" xfId="0" applyNumberFormat="1" applyFont="1" applyBorder="1" applyAlignment="1">
      <alignment horizontal="left"/>
    </xf>
    <xf numFmtId="1" fontId="88" fillId="0" borderId="76" xfId="0" applyNumberFormat="1" applyFont="1" applyBorder="1" applyAlignment="1">
      <alignment horizontal="left"/>
    </xf>
    <xf numFmtId="1" fontId="88" fillId="0" borderId="29" xfId="44" applyNumberFormat="1" applyFont="1" applyBorder="1" applyAlignment="1">
      <alignment horizontal="left"/>
    </xf>
    <xf numFmtId="1" fontId="88" fillId="0" borderId="29" xfId="0" applyNumberFormat="1" applyFont="1" applyBorder="1" applyAlignment="1">
      <alignment horizontal="left" wrapText="1"/>
    </xf>
    <xf numFmtId="1" fontId="95" fillId="0" borderId="76" xfId="0" applyNumberFormat="1" applyFont="1" applyBorder="1" applyAlignment="1">
      <alignment horizontal="left"/>
    </xf>
    <xf numFmtId="1" fontId="88" fillId="0" borderId="29" xfId="0" applyNumberFormat="1" applyFont="1" applyFill="1" applyBorder="1" applyAlignment="1">
      <alignment horizontal="left"/>
    </xf>
    <xf numFmtId="1" fontId="88" fillId="0" borderId="76" xfId="42" applyNumberFormat="1" applyFont="1" applyBorder="1" applyAlignment="1">
      <alignment horizontal="left"/>
    </xf>
    <xf numFmtId="1" fontId="88" fillId="0" borderId="57" xfId="0" applyNumberFormat="1" applyFont="1" applyBorder="1" applyAlignment="1">
      <alignment horizontal="left" vertical="center"/>
    </xf>
    <xf numFmtId="1" fontId="88" fillId="0" borderId="74" xfId="0" applyNumberFormat="1" applyFont="1" applyBorder="1" applyAlignment="1">
      <alignment horizontal="left" vertical="center"/>
    </xf>
    <xf numFmtId="1" fontId="87" fillId="0" borderId="55" xfId="0" applyNumberFormat="1" applyFont="1" applyBorder="1" applyAlignment="1">
      <alignment horizontal="left"/>
    </xf>
    <xf numFmtId="1" fontId="87" fillId="0" borderId="56" xfId="0" applyNumberFormat="1" applyFont="1" applyBorder="1" applyAlignment="1">
      <alignment horizontal="left"/>
    </xf>
    <xf numFmtId="1" fontId="87" fillId="0" borderId="74" xfId="0" applyNumberFormat="1" applyFont="1" applyBorder="1" applyAlignment="1">
      <alignment horizontal="left"/>
    </xf>
    <xf numFmtId="2" fontId="87" fillId="0" borderId="56" xfId="0" applyNumberFormat="1" applyFont="1" applyBorder="1" applyAlignment="1">
      <alignment horizontal="left"/>
    </xf>
    <xf numFmtId="1" fontId="87" fillId="0" borderId="80" xfId="0" applyNumberFormat="1" applyFont="1" applyBorder="1" applyAlignment="1">
      <alignment horizontal="left"/>
    </xf>
    <xf numFmtId="0" fontId="87" fillId="0" borderId="57" xfId="0" applyFont="1" applyBorder="1" applyAlignment="1">
      <alignment horizontal="left"/>
    </xf>
    <xf numFmtId="2" fontId="87" fillId="0" borderId="55" xfId="0" applyNumberFormat="1" applyFont="1" applyBorder="1" applyAlignment="1">
      <alignment horizontal="left" wrapText="1"/>
    </xf>
    <xf numFmtId="0" fontId="90" fillId="0" borderId="74" xfId="0" applyFont="1" applyBorder="1" applyAlignment="1">
      <alignment horizontal="left"/>
    </xf>
    <xf numFmtId="1" fontId="87" fillId="0" borderId="55" xfId="0" applyNumberFormat="1" applyFont="1" applyFill="1" applyBorder="1" applyAlignment="1">
      <alignment horizontal="left"/>
    </xf>
    <xf numFmtId="1" fontId="87" fillId="0" borderId="74" xfId="42" applyNumberFormat="1" applyFont="1" applyBorder="1" applyAlignment="1">
      <alignment horizontal="left"/>
    </xf>
    <xf numFmtId="1" fontId="88" fillId="0" borderId="55" xfId="0" applyNumberFormat="1" applyFont="1" applyBorder="1" applyAlignment="1">
      <alignment horizontal="left" vertical="center"/>
    </xf>
    <xf numFmtId="0" fontId="91" fillId="0" borderId="25" xfId="0" applyFont="1" applyBorder="1" applyAlignment="1">
      <alignment horizontal="left"/>
    </xf>
    <xf numFmtId="0" fontId="91" fillId="0" borderId="24" xfId="0" applyFont="1" applyBorder="1" applyAlignment="1">
      <alignment horizontal="left"/>
    </xf>
    <xf numFmtId="0" fontId="91" fillId="0" borderId="44" xfId="0" applyFont="1" applyBorder="1" applyAlignment="1">
      <alignment horizontal="left"/>
    </xf>
    <xf numFmtId="0" fontId="91" fillId="0" borderId="64" xfId="0" applyFont="1" applyBorder="1" applyAlignment="1">
      <alignment horizontal="left"/>
    </xf>
    <xf numFmtId="0" fontId="92" fillId="0" borderId="25" xfId="0" applyFont="1" applyBorder="1" applyAlignment="1">
      <alignment horizontal="left"/>
    </xf>
    <xf numFmtId="3" fontId="97" fillId="0" borderId="12" xfId="0" applyNumberFormat="1" applyFont="1" applyBorder="1" applyAlignment="1">
      <alignment horizontal="left"/>
    </xf>
    <xf numFmtId="0" fontId="88" fillId="0" borderId="40" xfId="0" applyFont="1" applyBorder="1" applyAlignment="1">
      <alignment horizontal="left"/>
    </xf>
    <xf numFmtId="0" fontId="91" fillId="0" borderId="19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106" fillId="0" borderId="21" xfId="0" applyFont="1" applyBorder="1" applyAlignment="1">
      <alignment horizontal="left"/>
    </xf>
    <xf numFmtId="0" fontId="91" fillId="0" borderId="16" xfId="0" applyFont="1" applyBorder="1" applyAlignment="1">
      <alignment horizontal="left"/>
    </xf>
    <xf numFmtId="0" fontId="90" fillId="0" borderId="81" xfId="0" applyFont="1" applyBorder="1" applyAlignment="1">
      <alignment horizontal="left"/>
    </xf>
    <xf numFmtId="0" fontId="107" fillId="0" borderId="82" xfId="0" applyFont="1" applyBorder="1" applyAlignment="1">
      <alignment horizontal="left"/>
    </xf>
    <xf numFmtId="2" fontId="92" fillId="0" borderId="25" xfId="0" applyNumberFormat="1" applyFont="1" applyBorder="1" applyAlignment="1">
      <alignment vertical="center"/>
    </xf>
    <xf numFmtId="2" fontId="94" fillId="0" borderId="25" xfId="0" applyNumberFormat="1" applyFont="1" applyBorder="1" applyAlignment="1">
      <alignment vertical="center"/>
    </xf>
    <xf numFmtId="2" fontId="92" fillId="0" borderId="77" xfId="0" applyNumberFormat="1" applyFont="1" applyBorder="1" applyAlignment="1">
      <alignment vertical="center"/>
    </xf>
    <xf numFmtId="2" fontId="92" fillId="0" borderId="26" xfId="0" applyNumberFormat="1" applyFont="1" applyBorder="1" applyAlignment="1">
      <alignment horizontal="right"/>
    </xf>
    <xf numFmtId="3" fontId="93" fillId="0" borderId="10" xfId="0" applyNumberFormat="1" applyFont="1" applyBorder="1" applyAlignment="1">
      <alignment horizontal="left"/>
    </xf>
    <xf numFmtId="164" fontId="93" fillId="0" borderId="10" xfId="0" applyNumberFormat="1" applyFont="1" applyBorder="1" applyAlignment="1">
      <alignment horizontal="left"/>
    </xf>
    <xf numFmtId="0" fontId="93" fillId="0" borderId="10" xfId="0" applyFont="1" applyBorder="1" applyAlignment="1">
      <alignment horizontal="left"/>
    </xf>
    <xf numFmtId="0" fontId="88" fillId="0" borderId="41" xfId="0" applyFont="1" applyBorder="1" applyAlignment="1">
      <alignment horizontal="left" vertical="center"/>
    </xf>
    <xf numFmtId="2" fontId="92" fillId="0" borderId="24" xfId="42" applyNumberFormat="1" applyFont="1" applyBorder="1" applyAlignment="1">
      <alignment horizontal="right"/>
    </xf>
    <xf numFmtId="1" fontId="90" fillId="0" borderId="53" xfId="0" applyNumberFormat="1" applyFont="1" applyFill="1" applyBorder="1" applyAlignment="1">
      <alignment horizontal="left" vertical="center" wrapText="1"/>
    </xf>
    <xf numFmtId="1" fontId="90" fillId="0" borderId="53" xfId="0" applyNumberFormat="1" applyFont="1" applyFill="1" applyBorder="1" applyAlignment="1">
      <alignment horizontal="left" vertical="top" wrapText="1"/>
    </xf>
    <xf numFmtId="1" fontId="2" fillId="0" borderId="53" xfId="0" applyNumberFormat="1" applyFont="1" applyFill="1" applyBorder="1" applyAlignment="1">
      <alignment horizontal="left" vertical="top" wrapText="1"/>
    </xf>
    <xf numFmtId="1" fontId="5" fillId="0" borderId="53" xfId="0" applyNumberFormat="1" applyFont="1" applyFill="1" applyBorder="1" applyAlignment="1">
      <alignment horizontal="left" vertical="top" wrapText="1"/>
    </xf>
    <xf numFmtId="1" fontId="90" fillId="0" borderId="54" xfId="0" applyNumberFormat="1" applyFont="1" applyFill="1" applyBorder="1" applyAlignment="1">
      <alignment horizontal="left" vertical="top" wrapText="1"/>
    </xf>
    <xf numFmtId="0" fontId="107" fillId="0" borderId="78" xfId="0" applyFont="1" applyBorder="1" applyAlignment="1">
      <alignment horizontal="left"/>
    </xf>
    <xf numFmtId="0" fontId="107" fillId="0" borderId="52" xfId="0" applyFont="1" applyBorder="1" applyAlignment="1">
      <alignment horizontal="left"/>
    </xf>
    <xf numFmtId="0" fontId="107" fillId="0" borderId="58" xfId="0" applyFont="1" applyBorder="1" applyAlignment="1">
      <alignment horizontal="left"/>
    </xf>
    <xf numFmtId="2" fontId="87" fillId="0" borderId="15" xfId="0" applyNumberFormat="1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2" fillId="0" borderId="0" xfId="0" applyFont="1" applyBorder="1" applyAlignment="1">
      <alignment horizontal="left"/>
    </xf>
    <xf numFmtId="0" fontId="104" fillId="0" borderId="0" xfId="0" applyFont="1" applyBorder="1" applyAlignment="1">
      <alignment horizontal="left"/>
    </xf>
    <xf numFmtId="2" fontId="88" fillId="0" borderId="13" xfId="0" applyNumberFormat="1" applyFont="1" applyFill="1" applyBorder="1" applyAlignment="1">
      <alignment horizontal="left"/>
    </xf>
    <xf numFmtId="164" fontId="95" fillId="0" borderId="11" xfId="0" applyNumberFormat="1" applyFont="1" applyBorder="1" applyAlignment="1">
      <alignment horizontal="left"/>
    </xf>
    <xf numFmtId="2" fontId="99" fillId="0" borderId="17" xfId="0" applyNumberFormat="1" applyFont="1" applyBorder="1" applyAlignment="1">
      <alignment horizontal="left" vertical="center"/>
    </xf>
    <xf numFmtId="164" fontId="95" fillId="0" borderId="40" xfId="0" applyNumberFormat="1" applyFont="1" applyBorder="1" applyAlignment="1">
      <alignment horizontal="left"/>
    </xf>
    <xf numFmtId="164" fontId="95" fillId="0" borderId="41" xfId="0" applyNumberFormat="1" applyFont="1" applyBorder="1" applyAlignment="1">
      <alignment horizontal="left"/>
    </xf>
    <xf numFmtId="164" fontId="95" fillId="0" borderId="10" xfId="0" applyNumberFormat="1" applyFont="1" applyBorder="1" applyAlignment="1">
      <alignment horizontal="left"/>
    </xf>
    <xf numFmtId="0" fontId="95" fillId="0" borderId="10" xfId="0" applyFont="1" applyBorder="1" applyAlignment="1">
      <alignment horizontal="left"/>
    </xf>
    <xf numFmtId="164" fontId="95" fillId="0" borderId="21" xfId="0" applyNumberFormat="1" applyFont="1" applyBorder="1" applyAlignment="1">
      <alignment horizontal="left"/>
    </xf>
    <xf numFmtId="164" fontId="95" fillId="0" borderId="20" xfId="0" applyNumberFormat="1" applyFont="1" applyBorder="1" applyAlignment="1">
      <alignment horizontal="left"/>
    </xf>
    <xf numFmtId="2" fontId="88" fillId="0" borderId="17" xfId="0" applyNumberFormat="1" applyFont="1" applyBorder="1" applyAlignment="1">
      <alignment horizontal="left" vertical="center"/>
    </xf>
    <xf numFmtId="0" fontId="88" fillId="0" borderId="11" xfId="0" applyFont="1" applyBorder="1" applyAlignment="1">
      <alignment horizontal="left" vertical="center"/>
    </xf>
    <xf numFmtId="1" fontId="88" fillId="0" borderId="22" xfId="0" applyNumberFormat="1" applyFont="1" applyBorder="1" applyAlignment="1">
      <alignment horizontal="left"/>
    </xf>
    <xf numFmtId="1" fontId="87" fillId="0" borderId="57" xfId="0" applyNumberFormat="1" applyFont="1" applyBorder="1" applyAlignment="1">
      <alignment horizontal="left"/>
    </xf>
    <xf numFmtId="1" fontId="88" fillId="0" borderId="45" xfId="0" applyNumberFormat="1" applyFont="1" applyBorder="1" applyAlignment="1">
      <alignment horizontal="left"/>
    </xf>
    <xf numFmtId="2" fontId="87" fillId="0" borderId="80" xfId="0" applyNumberFormat="1" applyFont="1" applyBorder="1" applyAlignment="1">
      <alignment horizontal="left"/>
    </xf>
    <xf numFmtId="2" fontId="87" fillId="0" borderId="57" xfId="0" applyNumberFormat="1" applyFont="1" applyBorder="1" applyAlignment="1">
      <alignment horizontal="left"/>
    </xf>
    <xf numFmtId="164" fontId="93" fillId="0" borderId="16" xfId="0" applyNumberFormat="1" applyFont="1" applyBorder="1" applyAlignment="1">
      <alignment horizontal="left"/>
    </xf>
    <xf numFmtId="164" fontId="93" fillId="0" borderId="28" xfId="0" applyNumberFormat="1" applyFont="1" applyBorder="1" applyAlignment="1">
      <alignment horizontal="left"/>
    </xf>
    <xf numFmtId="0" fontId="91" fillId="0" borderId="46" xfId="0" applyFont="1" applyBorder="1" applyAlignment="1">
      <alignment horizontal="left"/>
    </xf>
    <xf numFmtId="1" fontId="97" fillId="0" borderId="25" xfId="0" applyNumberFormat="1" applyFont="1" applyBorder="1" applyAlignment="1">
      <alignment horizontal="left"/>
    </xf>
    <xf numFmtId="1" fontId="97" fillId="0" borderId="24" xfId="42" applyNumberFormat="1" applyFont="1" applyBorder="1" applyAlignment="1">
      <alignment horizontal="left"/>
    </xf>
    <xf numFmtId="0" fontId="96" fillId="0" borderId="66" xfId="0" applyFont="1" applyBorder="1" applyAlignment="1">
      <alignment horizontal="left" vertical="center"/>
    </xf>
    <xf numFmtId="1" fontId="97" fillId="0" borderId="24" xfId="0" applyNumberFormat="1" applyFont="1" applyBorder="1" applyAlignment="1">
      <alignment horizontal="left"/>
    </xf>
    <xf numFmtId="2" fontId="97" fillId="0" borderId="13" xfId="0" applyNumberFormat="1" applyFont="1" applyBorder="1" applyAlignment="1">
      <alignment horizontal="left" wrapText="1"/>
    </xf>
    <xf numFmtId="2" fontId="97" fillId="0" borderId="12" xfId="42" applyNumberFormat="1" applyFont="1" applyBorder="1" applyAlignment="1">
      <alignment horizontal="left"/>
    </xf>
    <xf numFmtId="1" fontId="113" fillId="0" borderId="54" xfId="0" applyNumberFormat="1" applyFont="1" applyFill="1" applyBorder="1" applyAlignment="1">
      <alignment horizontal="left" vertical="top" wrapText="1"/>
    </xf>
    <xf numFmtId="1" fontId="113" fillId="0" borderId="21" xfId="0" applyNumberFormat="1" applyFont="1" applyFill="1" applyBorder="1" applyAlignment="1">
      <alignment horizontal="left" vertical="center"/>
    </xf>
    <xf numFmtId="1" fontId="113" fillId="0" borderId="76" xfId="0" applyNumberFormat="1" applyFont="1" applyFill="1" applyBorder="1" applyAlignment="1">
      <alignment horizontal="left" vertical="center"/>
    </xf>
    <xf numFmtId="1" fontId="113" fillId="0" borderId="28" xfId="0" applyNumberFormat="1" applyFont="1" applyBorder="1" applyAlignment="1">
      <alignment horizontal="left" vertical="center"/>
    </xf>
    <xf numFmtId="1" fontId="113" fillId="0" borderId="28" xfId="0" applyNumberFormat="1" applyFont="1" applyFill="1" applyBorder="1" applyAlignment="1">
      <alignment horizontal="left" vertical="center"/>
    </xf>
    <xf numFmtId="1" fontId="114" fillId="0" borderId="11" xfId="42" applyNumberFormat="1" applyFont="1" applyBorder="1" applyAlignment="1">
      <alignment horizontal="left"/>
    </xf>
    <xf numFmtId="1" fontId="113" fillId="0" borderId="0" xfId="0" applyNumberFormat="1" applyFont="1" applyFill="1" applyAlignment="1">
      <alignment horizontal="left"/>
    </xf>
    <xf numFmtId="1" fontId="114" fillId="0" borderId="53" xfId="0" applyNumberFormat="1" applyFont="1" applyFill="1" applyBorder="1" applyAlignment="1">
      <alignment horizontal="left" vertical="top" wrapText="1"/>
    </xf>
    <xf numFmtId="1" fontId="113" fillId="0" borderId="10" xfId="0" applyNumberFormat="1" applyFont="1" applyBorder="1" applyAlignment="1">
      <alignment horizontal="left" vertical="center"/>
    </xf>
    <xf numFmtId="1" fontId="113" fillId="0" borderId="24" xfId="0" applyNumberFormat="1" applyFont="1" applyBorder="1" applyAlignment="1">
      <alignment horizontal="left" vertical="center"/>
    </xf>
    <xf numFmtId="1" fontId="114" fillId="0" borderId="0" xfId="0" applyNumberFormat="1" applyFont="1" applyAlignment="1">
      <alignment horizontal="left"/>
    </xf>
    <xf numFmtId="1" fontId="114" fillId="0" borderId="10" xfId="0" applyNumberFormat="1" applyFont="1" applyBorder="1" applyAlignment="1">
      <alignment horizontal="left" vertical="center"/>
    </xf>
    <xf numFmtId="0" fontId="115" fillId="0" borderId="53" xfId="0" applyFont="1" applyBorder="1" applyAlignment="1">
      <alignment horizontal="left"/>
    </xf>
    <xf numFmtId="0" fontId="116" fillId="0" borderId="53" xfId="0" applyFont="1" applyBorder="1" applyAlignment="1">
      <alignment/>
    </xf>
    <xf numFmtId="2" fontId="117" fillId="0" borderId="24" xfId="0" applyNumberFormat="1" applyFont="1" applyBorder="1" applyAlignment="1">
      <alignment vertical="center"/>
    </xf>
    <xf numFmtId="2" fontId="117" fillId="0" borderId="25" xfId="0" applyNumberFormat="1" applyFont="1" applyBorder="1" applyAlignment="1">
      <alignment vertical="center"/>
    </xf>
    <xf numFmtId="2" fontId="117" fillId="0" borderId="25" xfId="0" applyNumberFormat="1" applyFont="1" applyBorder="1" applyAlignment="1">
      <alignment horizontal="right"/>
    </xf>
    <xf numFmtId="2" fontId="117" fillId="0" borderId="24" xfId="0" applyNumberFormat="1" applyFont="1" applyBorder="1" applyAlignment="1">
      <alignment horizontal="right"/>
    </xf>
    <xf numFmtId="2" fontId="113" fillId="0" borderId="25" xfId="0" applyNumberFormat="1" applyFont="1" applyBorder="1" applyAlignment="1">
      <alignment horizontal="right"/>
    </xf>
    <xf numFmtId="2" fontId="113" fillId="0" borderId="25" xfId="0" applyNumberFormat="1" applyFont="1" applyBorder="1" applyAlignment="1">
      <alignment horizontal="left"/>
    </xf>
    <xf numFmtId="2" fontId="117" fillId="0" borderId="25" xfId="42" applyNumberFormat="1" applyFont="1" applyBorder="1" applyAlignment="1">
      <alignment horizontal="right"/>
    </xf>
    <xf numFmtId="2" fontId="117" fillId="0" borderId="25" xfId="0" applyNumberFormat="1" applyFont="1" applyBorder="1" applyAlignment="1">
      <alignment horizontal="right" wrapText="1"/>
    </xf>
    <xf numFmtId="2" fontId="117" fillId="0" borderId="25" xfId="0" applyNumberFormat="1" applyFont="1" applyFill="1" applyBorder="1" applyAlignment="1">
      <alignment horizontal="right"/>
    </xf>
    <xf numFmtId="0" fontId="116" fillId="0" borderId="0" xfId="0" applyFont="1" applyAlignment="1">
      <alignment/>
    </xf>
    <xf numFmtId="0" fontId="115" fillId="0" borderId="68" xfId="0" applyFont="1" applyBorder="1" applyAlignment="1">
      <alignment horizontal="left"/>
    </xf>
    <xf numFmtId="0" fontId="116" fillId="0" borderId="68" xfId="0" applyFont="1" applyBorder="1" applyAlignment="1">
      <alignment/>
    </xf>
    <xf numFmtId="2" fontId="117" fillId="0" borderId="63" xfId="0" applyNumberFormat="1" applyFont="1" applyBorder="1" applyAlignment="1">
      <alignment vertical="center"/>
    </xf>
    <xf numFmtId="2" fontId="117" fillId="0" borderId="63" xfId="0" applyNumberFormat="1" applyFont="1" applyBorder="1" applyAlignment="1">
      <alignment horizontal="right"/>
    </xf>
    <xf numFmtId="2" fontId="117" fillId="0" borderId="59" xfId="0" applyNumberFormat="1" applyFont="1" applyBorder="1" applyAlignment="1">
      <alignment horizontal="right"/>
    </xf>
    <xf numFmtId="2" fontId="113" fillId="0" borderId="63" xfId="0" applyNumberFormat="1" applyFont="1" applyBorder="1" applyAlignment="1">
      <alignment horizontal="right"/>
    </xf>
    <xf numFmtId="2" fontId="115" fillId="0" borderId="63" xfId="0" applyNumberFormat="1" applyFont="1" applyBorder="1" applyAlignment="1">
      <alignment horizontal="left"/>
    </xf>
    <xf numFmtId="2" fontId="117" fillId="0" borderId="63" xfId="42" applyNumberFormat="1" applyFont="1" applyBorder="1" applyAlignment="1">
      <alignment horizontal="right"/>
    </xf>
    <xf numFmtId="2" fontId="117" fillId="0" borderId="63" xfId="0" applyNumberFormat="1" applyFont="1" applyBorder="1" applyAlignment="1">
      <alignment horizontal="right" wrapText="1"/>
    </xf>
    <xf numFmtId="2" fontId="117" fillId="0" borderId="63" xfId="0" applyNumberFormat="1" applyFont="1" applyFill="1" applyBorder="1" applyAlignment="1">
      <alignment horizontal="right"/>
    </xf>
    <xf numFmtId="2" fontId="117" fillId="0" borderId="25" xfId="44" applyNumberFormat="1" applyFont="1" applyBorder="1" applyAlignment="1">
      <alignment horizontal="right"/>
    </xf>
    <xf numFmtId="2" fontId="113" fillId="0" borderId="24" xfId="42" applyNumberFormat="1" applyFont="1" applyBorder="1" applyAlignment="1">
      <alignment horizontal="right"/>
    </xf>
    <xf numFmtId="2" fontId="113" fillId="0" borderId="25" xfId="42" applyNumberFormat="1" applyFont="1" applyBorder="1" applyAlignment="1">
      <alignment horizontal="right"/>
    </xf>
    <xf numFmtId="1" fontId="97" fillId="0" borderId="34" xfId="0" applyNumberFormat="1" applyFont="1" applyBorder="1" applyAlignment="1">
      <alignment horizontal="left"/>
    </xf>
    <xf numFmtId="1" fontId="96" fillId="0" borderId="11" xfId="44" applyNumberFormat="1" applyFont="1" applyBorder="1" applyAlignment="1">
      <alignment horizontal="left"/>
    </xf>
    <xf numFmtId="1" fontId="96" fillId="0" borderId="11" xfId="42" applyNumberFormat="1" applyFont="1" applyBorder="1" applyAlignment="1">
      <alignment horizontal="left"/>
    </xf>
    <xf numFmtId="2" fontId="118" fillId="0" borderId="28" xfId="0" applyNumberFormat="1" applyFont="1" applyBorder="1" applyAlignment="1">
      <alignment horizontal="left" vertical="center"/>
    </xf>
    <xf numFmtId="2" fontId="88" fillId="0" borderId="29" xfId="0" applyNumberFormat="1" applyFont="1" applyBorder="1" applyAlignment="1">
      <alignment horizontal="left"/>
    </xf>
    <xf numFmtId="2" fontId="88" fillId="0" borderId="30" xfId="0" applyNumberFormat="1" applyFont="1" applyBorder="1" applyAlignment="1">
      <alignment horizontal="left"/>
    </xf>
    <xf numFmtId="2" fontId="88" fillId="0" borderId="45" xfId="0" applyNumberFormat="1" applyFont="1" applyBorder="1" applyAlignment="1">
      <alignment horizontal="left"/>
    </xf>
    <xf numFmtId="2" fontId="88" fillId="0" borderId="28" xfId="0" applyNumberFormat="1" applyFont="1" applyBorder="1" applyAlignment="1">
      <alignment horizontal="left"/>
    </xf>
    <xf numFmtId="2" fontId="88" fillId="0" borderId="76" xfId="0" applyNumberFormat="1" applyFont="1" applyBorder="1" applyAlignment="1">
      <alignment horizontal="left"/>
    </xf>
    <xf numFmtId="2" fontId="118" fillId="0" borderId="28" xfId="0" applyNumberFormat="1" applyFont="1" applyBorder="1" applyAlignment="1">
      <alignment horizontal="left"/>
    </xf>
    <xf numFmtId="2" fontId="118" fillId="0" borderId="30" xfId="0" applyNumberFormat="1" applyFont="1" applyBorder="1" applyAlignment="1">
      <alignment horizontal="left"/>
    </xf>
    <xf numFmtId="2" fontId="118" fillId="0" borderId="29" xfId="0" applyNumberFormat="1" applyFont="1" applyBorder="1" applyAlignment="1">
      <alignment horizontal="left"/>
    </xf>
    <xf numFmtId="0" fontId="88" fillId="0" borderId="28" xfId="0" applyFont="1" applyBorder="1" applyAlignment="1">
      <alignment horizontal="left"/>
    </xf>
    <xf numFmtId="0" fontId="88" fillId="0" borderId="30" xfId="0" applyFont="1" applyBorder="1" applyAlignment="1">
      <alignment horizontal="left"/>
    </xf>
    <xf numFmtId="2" fontId="88" fillId="0" borderId="28" xfId="0" applyNumberFormat="1" applyFont="1" applyBorder="1" applyAlignment="1">
      <alignment horizontal="left" wrapText="1"/>
    </xf>
    <xf numFmtId="2" fontId="88" fillId="0" borderId="28" xfId="0" applyNumberFormat="1" applyFont="1" applyFill="1" applyBorder="1" applyAlignment="1">
      <alignment horizontal="left"/>
    </xf>
    <xf numFmtId="2" fontId="88" fillId="0" borderId="30" xfId="0" applyNumberFormat="1" applyFont="1" applyFill="1" applyBorder="1" applyAlignment="1">
      <alignment horizontal="left"/>
    </xf>
    <xf numFmtId="2" fontId="88" fillId="0" borderId="28" xfId="42" applyNumberFormat="1" applyFont="1" applyBorder="1" applyAlignment="1">
      <alignment horizontal="left"/>
    </xf>
    <xf numFmtId="2" fontId="88" fillId="0" borderId="30" xfId="42" applyNumberFormat="1" applyFont="1" applyBorder="1" applyAlignment="1">
      <alignment horizontal="left"/>
    </xf>
    <xf numFmtId="2" fontId="88" fillId="0" borderId="55" xfId="0" applyNumberFormat="1" applyFont="1" applyBorder="1" applyAlignment="1">
      <alignment horizontal="left" vertical="center"/>
    </xf>
    <xf numFmtId="2" fontId="88" fillId="0" borderId="28" xfId="0" applyNumberFormat="1" applyFont="1" applyBorder="1" applyAlignment="1">
      <alignment horizontal="left" vertical="center"/>
    </xf>
    <xf numFmtId="2" fontId="88" fillId="0" borderId="76" xfId="0" applyNumberFormat="1" applyFont="1" applyBorder="1" applyAlignment="1">
      <alignment horizontal="left" vertical="center"/>
    </xf>
    <xf numFmtId="2" fontId="99" fillId="0" borderId="72" xfId="0" applyNumberFormat="1" applyFont="1" applyBorder="1" applyAlignment="1">
      <alignment horizontal="left" vertical="center"/>
    </xf>
    <xf numFmtId="2" fontId="99" fillId="0" borderId="73" xfId="0" applyNumberFormat="1" applyFont="1" applyBorder="1" applyAlignment="1">
      <alignment horizontal="left" vertical="center"/>
    </xf>
    <xf numFmtId="2" fontId="88" fillId="0" borderId="60" xfId="0" applyNumberFormat="1" applyFont="1" applyBorder="1" applyAlignment="1">
      <alignment horizontal="left" vertical="center"/>
    </xf>
    <xf numFmtId="2" fontId="99" fillId="0" borderId="62" xfId="42" applyNumberFormat="1" applyFont="1" applyBorder="1" applyAlignment="1">
      <alignment horizontal="left"/>
    </xf>
    <xf numFmtId="1" fontId="88" fillId="0" borderId="24" xfId="0" applyNumberFormat="1" applyFont="1" applyBorder="1" applyAlignment="1">
      <alignment horizontal="left" vertical="center"/>
    </xf>
    <xf numFmtId="1" fontId="87" fillId="0" borderId="22" xfId="0" applyNumberFormat="1" applyFont="1" applyBorder="1" applyAlignment="1">
      <alignment horizontal="left"/>
    </xf>
    <xf numFmtId="1" fontId="114" fillId="0" borderId="22" xfId="0" applyNumberFormat="1" applyFont="1" applyBorder="1" applyAlignment="1">
      <alignment horizontal="left"/>
    </xf>
    <xf numFmtId="2" fontId="87" fillId="0" borderId="83" xfId="0" applyNumberFormat="1" applyFont="1" applyBorder="1" applyAlignment="1">
      <alignment horizontal="left"/>
    </xf>
    <xf numFmtId="1" fontId="88" fillId="0" borderId="84" xfId="0" applyNumberFormat="1" applyFont="1" applyBorder="1" applyAlignment="1">
      <alignment horizontal="left"/>
    </xf>
    <xf numFmtId="1" fontId="113" fillId="0" borderId="38" xfId="0" applyNumberFormat="1" applyFont="1" applyBorder="1" applyAlignment="1">
      <alignment horizontal="left" vertical="center"/>
    </xf>
    <xf numFmtId="2" fontId="87" fillId="0" borderId="83" xfId="42" applyNumberFormat="1" applyFont="1" applyBorder="1" applyAlignment="1">
      <alignment horizontal="left"/>
    </xf>
    <xf numFmtId="2" fontId="87" fillId="0" borderId="22" xfId="42" applyNumberFormat="1" applyFont="1" applyBorder="1" applyAlignment="1">
      <alignment horizontal="left"/>
    </xf>
    <xf numFmtId="2" fontId="87" fillId="0" borderId="84" xfId="42" applyNumberFormat="1" applyFont="1" applyBorder="1" applyAlignment="1">
      <alignment horizontal="left"/>
    </xf>
    <xf numFmtId="1" fontId="114" fillId="0" borderId="22" xfId="0" applyNumberFormat="1" applyFont="1" applyFill="1" applyBorder="1" applyAlignment="1">
      <alignment horizontal="left"/>
    </xf>
    <xf numFmtId="1" fontId="114" fillId="0" borderId="38" xfId="0" applyNumberFormat="1" applyFont="1" applyFill="1" applyBorder="1" applyAlignment="1">
      <alignment horizontal="left" vertical="center" shrinkToFit="1"/>
    </xf>
    <xf numFmtId="2" fontId="87" fillId="0" borderId="83" xfId="0" applyNumberFormat="1" applyFont="1" applyFill="1" applyBorder="1" applyAlignment="1">
      <alignment horizontal="left"/>
    </xf>
    <xf numFmtId="1" fontId="87" fillId="0" borderId="84" xfId="0" applyNumberFormat="1" applyFont="1" applyFill="1" applyBorder="1" applyAlignment="1">
      <alignment horizontal="left"/>
    </xf>
    <xf numFmtId="1" fontId="113" fillId="0" borderId="36" xfId="0" applyNumberFormat="1" applyFont="1" applyFill="1" applyBorder="1" applyAlignment="1">
      <alignment horizontal="left" vertical="center"/>
    </xf>
    <xf numFmtId="2" fontId="87" fillId="0" borderId="40" xfId="42" applyNumberFormat="1" applyFont="1" applyBorder="1" applyAlignment="1">
      <alignment horizontal="left"/>
    </xf>
    <xf numFmtId="1" fontId="87" fillId="0" borderId="38" xfId="0" applyNumberFormat="1" applyFont="1" applyFill="1" applyBorder="1" applyAlignment="1">
      <alignment horizontal="left" vertical="center" shrinkToFit="1"/>
    </xf>
    <xf numFmtId="2" fontId="87" fillId="0" borderId="83" xfId="0" applyNumberFormat="1" applyFont="1" applyFill="1" applyBorder="1" applyAlignment="1">
      <alignment horizontal="left" vertical="center" wrapText="1"/>
    </xf>
    <xf numFmtId="1" fontId="87" fillId="0" borderId="22" xfId="0" applyNumberFormat="1" applyFont="1" applyFill="1" applyBorder="1" applyAlignment="1">
      <alignment horizontal="left" wrapText="1"/>
    </xf>
    <xf numFmtId="1" fontId="87" fillId="0" borderId="10" xfId="0" applyNumberFormat="1" applyFont="1" applyFill="1" applyBorder="1" applyAlignment="1">
      <alignment horizontal="left"/>
    </xf>
    <xf numFmtId="1" fontId="114" fillId="0" borderId="37" xfId="0" applyNumberFormat="1" applyFont="1" applyFill="1" applyBorder="1" applyAlignment="1">
      <alignment horizontal="left" vertical="center" shrinkToFit="1"/>
    </xf>
    <xf numFmtId="2" fontId="87" fillId="0" borderId="40" xfId="0" applyNumberFormat="1" applyFont="1" applyFill="1" applyBorder="1" applyAlignment="1">
      <alignment horizontal="left"/>
    </xf>
    <xf numFmtId="1" fontId="87" fillId="0" borderId="21" xfId="0" applyNumberFormat="1" applyFont="1" applyFill="1" applyBorder="1" applyAlignment="1">
      <alignment horizontal="left"/>
    </xf>
    <xf numFmtId="1" fontId="114" fillId="0" borderId="22" xfId="0" applyNumberFormat="1" applyFont="1" applyBorder="1" applyAlignment="1">
      <alignment horizontal="left" vertical="center"/>
    </xf>
    <xf numFmtId="1" fontId="113" fillId="0" borderId="22" xfId="0" applyNumberFormat="1" applyFont="1" applyBorder="1" applyAlignment="1">
      <alignment horizontal="left" vertical="center"/>
    </xf>
    <xf numFmtId="1" fontId="113" fillId="0" borderId="45" xfId="0" applyNumberFormat="1" applyFont="1" applyFill="1" applyBorder="1" applyAlignment="1">
      <alignment horizontal="left" vertical="center"/>
    </xf>
    <xf numFmtId="1" fontId="87" fillId="0" borderId="84" xfId="0" applyNumberFormat="1" applyFont="1" applyBorder="1" applyAlignment="1">
      <alignment horizontal="left"/>
    </xf>
    <xf numFmtId="1" fontId="87" fillId="0" borderId="10" xfId="0" applyNumberFormat="1" applyFont="1" applyBorder="1" applyAlignment="1">
      <alignment horizontal="left" wrapText="1"/>
    </xf>
    <xf numFmtId="1" fontId="87" fillId="0" borderId="28" xfId="0" applyNumberFormat="1" applyFont="1" applyBorder="1" applyAlignment="1">
      <alignment horizontal="left" wrapText="1"/>
    </xf>
    <xf numFmtId="1" fontId="87" fillId="0" borderId="21" xfId="0" applyNumberFormat="1" applyFont="1" applyBorder="1" applyAlignment="1">
      <alignment horizontal="left" wrapText="1"/>
    </xf>
    <xf numFmtId="1" fontId="2" fillId="0" borderId="22" xfId="0" applyNumberFormat="1" applyFont="1" applyBorder="1" applyAlignment="1">
      <alignment horizontal="left"/>
    </xf>
    <xf numFmtId="1" fontId="2" fillId="0" borderId="45" xfId="0" applyNumberFormat="1" applyFont="1" applyBorder="1" applyAlignment="1">
      <alignment horizontal="left"/>
    </xf>
    <xf numFmtId="1" fontId="2" fillId="0" borderId="84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28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left"/>
    </xf>
    <xf numFmtId="1" fontId="87" fillId="0" borderId="22" xfId="44" applyNumberFormat="1" applyFont="1" applyBorder="1" applyAlignment="1">
      <alignment horizontal="left"/>
    </xf>
    <xf numFmtId="2" fontId="87" fillId="0" borderId="83" xfId="44" applyNumberFormat="1" applyFont="1" applyBorder="1" applyAlignment="1">
      <alignment horizontal="left"/>
    </xf>
    <xf numFmtId="165" fontId="87" fillId="0" borderId="22" xfId="44" applyNumberFormat="1" applyFont="1" applyBorder="1" applyAlignment="1">
      <alignment horizontal="left"/>
    </xf>
    <xf numFmtId="1" fontId="87" fillId="0" borderId="84" xfId="44" applyNumberFormat="1" applyFont="1" applyBorder="1" applyAlignment="1">
      <alignment horizontal="left"/>
    </xf>
    <xf numFmtId="1" fontId="88" fillId="0" borderId="85" xfId="0" applyNumberFormat="1" applyFont="1" applyBorder="1" applyAlignment="1">
      <alignment horizontal="left" vertical="center"/>
    </xf>
    <xf numFmtId="1" fontId="113" fillId="0" borderId="85" xfId="0" applyNumberFormat="1" applyFont="1" applyBorder="1" applyAlignment="1">
      <alignment horizontal="left" vertical="center"/>
    </xf>
    <xf numFmtId="2" fontId="87" fillId="0" borderId="65" xfId="0" applyNumberFormat="1" applyFont="1" applyBorder="1" applyAlignment="1">
      <alignment horizontal="left"/>
    </xf>
    <xf numFmtId="1" fontId="87" fillId="0" borderId="28" xfId="44" applyNumberFormat="1" applyFont="1" applyBorder="1" applyAlignment="1">
      <alignment horizontal="left"/>
    </xf>
    <xf numFmtId="2" fontId="87" fillId="0" borderId="40" xfId="44" applyNumberFormat="1" applyFont="1" applyBorder="1" applyAlignment="1">
      <alignment horizontal="left"/>
    </xf>
    <xf numFmtId="165" fontId="87" fillId="0" borderId="10" xfId="44" applyNumberFormat="1" applyFont="1" applyBorder="1" applyAlignment="1">
      <alignment horizontal="left"/>
    </xf>
    <xf numFmtId="1" fontId="87" fillId="0" borderId="21" xfId="44" applyNumberFormat="1" applyFont="1" applyBorder="1" applyAlignment="1">
      <alignment horizontal="left"/>
    </xf>
    <xf numFmtId="2" fontId="88" fillId="0" borderId="84" xfId="0" applyNumberFormat="1" applyFont="1" applyBorder="1" applyAlignment="1">
      <alignment horizontal="left"/>
    </xf>
    <xf numFmtId="2" fontId="88" fillId="0" borderId="21" xfId="0" applyNumberFormat="1" applyFont="1" applyBorder="1" applyAlignment="1">
      <alignment horizontal="left"/>
    </xf>
    <xf numFmtId="2" fontId="87" fillId="0" borderId="78" xfId="0" applyNumberFormat="1" applyFont="1" applyBorder="1" applyAlignment="1">
      <alignment horizontal="left"/>
    </xf>
    <xf numFmtId="1" fontId="88" fillId="0" borderId="22" xfId="0" applyNumberFormat="1" applyFont="1" applyBorder="1" applyAlignment="1">
      <alignment horizontal="left" vertical="center"/>
    </xf>
    <xf numFmtId="1" fontId="113" fillId="0" borderId="84" xfId="0" applyNumberFormat="1" applyFont="1" applyFill="1" applyBorder="1" applyAlignment="1">
      <alignment horizontal="left" vertical="center"/>
    </xf>
    <xf numFmtId="1" fontId="88" fillId="0" borderId="24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justify" vertical="justify" wrapText="1"/>
    </xf>
    <xf numFmtId="0" fontId="4" fillId="0" borderId="13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4" fillId="0" borderId="57" xfId="0" applyFont="1" applyBorder="1" applyAlignment="1">
      <alignment horizontal="justify" vertical="justify" wrapText="1"/>
    </xf>
    <xf numFmtId="0" fontId="4" fillId="0" borderId="56" xfId="0" applyFont="1" applyBorder="1" applyAlignment="1">
      <alignment horizontal="justify" vertical="justify" wrapText="1"/>
    </xf>
    <xf numFmtId="0" fontId="4" fillId="0" borderId="74" xfId="0" applyFont="1" applyBorder="1" applyAlignment="1">
      <alignment horizontal="justify" vertical="justify" wrapText="1"/>
    </xf>
    <xf numFmtId="0" fontId="4" fillId="0" borderId="55" xfId="0" applyFont="1" applyBorder="1" applyAlignment="1">
      <alignment horizontal="justify" vertical="justify" wrapText="1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66" xfId="0" applyFont="1" applyBorder="1" applyAlignment="1">
      <alignment/>
    </xf>
    <xf numFmtId="164" fontId="11" fillId="0" borderId="13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11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1" fillId="0" borderId="6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8" fillId="0" borderId="84" xfId="0" applyFont="1" applyBorder="1" applyAlignment="1">
      <alignment/>
    </xf>
    <xf numFmtId="164" fontId="11" fillId="0" borderId="21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164" fontId="11" fillId="0" borderId="69" xfId="0" applyNumberFormat="1" applyFont="1" applyBorder="1" applyAlignment="1">
      <alignment horizontal="right"/>
    </xf>
    <xf numFmtId="0" fontId="8" fillId="0" borderId="39" xfId="0" applyFont="1" applyBorder="1" applyAlignment="1">
      <alignment/>
    </xf>
    <xf numFmtId="0" fontId="8" fillId="0" borderId="69" xfId="0" applyFont="1" applyBorder="1" applyAlignment="1">
      <alignment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8" fillId="0" borderId="42" xfId="0" applyFont="1" applyBorder="1" applyAlignment="1">
      <alignment horizontal="left"/>
    </xf>
    <xf numFmtId="2" fontId="88" fillId="0" borderId="39" xfId="0" applyNumberFormat="1" applyFont="1" applyBorder="1" applyAlignment="1">
      <alignment horizontal="left"/>
    </xf>
    <xf numFmtId="2" fontId="99" fillId="0" borderId="34" xfId="0" applyNumberFormat="1" applyFont="1" applyBorder="1" applyAlignment="1">
      <alignment horizontal="left" vertical="center"/>
    </xf>
    <xf numFmtId="2" fontId="99" fillId="0" borderId="43" xfId="0" applyNumberFormat="1" applyFont="1" applyBorder="1" applyAlignment="1">
      <alignment horizontal="left" vertical="center"/>
    </xf>
    <xf numFmtId="0" fontId="88" fillId="0" borderId="40" xfId="0" applyFont="1" applyBorder="1" applyAlignment="1">
      <alignment horizontal="left" vertical="center"/>
    </xf>
    <xf numFmtId="2" fontId="118" fillId="0" borderId="21" xfId="0" applyNumberFormat="1" applyFont="1" applyBorder="1" applyAlignment="1">
      <alignment horizontal="left"/>
    </xf>
    <xf numFmtId="2" fontId="118" fillId="0" borderId="20" xfId="0" applyNumberFormat="1" applyFont="1" applyBorder="1" applyAlignment="1">
      <alignment horizontal="left"/>
    </xf>
    <xf numFmtId="2" fontId="88" fillId="0" borderId="57" xfId="0" applyNumberFormat="1" applyFont="1" applyBorder="1" applyAlignment="1">
      <alignment horizontal="left" vertical="center"/>
    </xf>
    <xf numFmtId="2" fontId="88" fillId="0" borderId="62" xfId="0" applyNumberFormat="1" applyFont="1" applyBorder="1" applyAlignment="1">
      <alignment horizontal="left" vertical="center"/>
    </xf>
    <xf numFmtId="1" fontId="87" fillId="0" borderId="18" xfId="42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" fontId="88" fillId="0" borderId="57" xfId="0" applyNumberFormat="1" applyFont="1" applyBorder="1" applyAlignment="1">
      <alignment horizontal="left"/>
    </xf>
    <xf numFmtId="1" fontId="96" fillId="0" borderId="27" xfId="0" applyNumberFormat="1" applyFont="1" applyBorder="1" applyAlignment="1">
      <alignment horizontal="left" vertical="center"/>
    </xf>
    <xf numFmtId="1" fontId="96" fillId="0" borderId="25" xfId="0" applyNumberFormat="1" applyFont="1" applyBorder="1" applyAlignment="1">
      <alignment horizontal="left" vertical="center"/>
    </xf>
    <xf numFmtId="2" fontId="97" fillId="0" borderId="27" xfId="0" applyNumberFormat="1" applyFont="1" applyBorder="1" applyAlignment="1">
      <alignment horizontal="left"/>
    </xf>
    <xf numFmtId="2" fontId="110" fillId="0" borderId="82" xfId="0" applyNumberFormat="1" applyFont="1" applyBorder="1" applyAlignment="1">
      <alignment horizontal="left"/>
    </xf>
    <xf numFmtId="1" fontId="97" fillId="0" borderId="27" xfId="0" applyNumberFormat="1" applyFont="1" applyBorder="1" applyAlignment="1">
      <alignment horizontal="left"/>
    </xf>
    <xf numFmtId="1" fontId="110" fillId="0" borderId="82" xfId="0" applyNumberFormat="1" applyFont="1" applyBorder="1" applyAlignment="1">
      <alignment horizontal="left"/>
    </xf>
    <xf numFmtId="0" fontId="97" fillId="0" borderId="10" xfId="0" applyFont="1" applyBorder="1" applyAlignment="1">
      <alignment horizontal="left"/>
    </xf>
    <xf numFmtId="3" fontId="97" fillId="0" borderId="10" xfId="0" applyNumberFormat="1" applyFont="1" applyBorder="1" applyAlignment="1">
      <alignment horizontal="left"/>
    </xf>
    <xf numFmtId="0" fontId="119" fillId="0" borderId="10" xfId="0" applyFont="1" applyBorder="1" applyAlignment="1">
      <alignment horizontal="left"/>
    </xf>
    <xf numFmtId="3" fontId="110" fillId="0" borderId="21" xfId="0" applyNumberFormat="1" applyFont="1" applyBorder="1" applyAlignment="1">
      <alignment horizontal="left"/>
    </xf>
    <xf numFmtId="2" fontId="97" fillId="0" borderId="22" xfId="0" applyNumberFormat="1" applyFont="1" applyFill="1" applyBorder="1" applyAlignment="1">
      <alignment horizontal="left"/>
    </xf>
    <xf numFmtId="1" fontId="97" fillId="0" borderId="22" xfId="0" applyNumberFormat="1" applyFont="1" applyFill="1" applyBorder="1" applyAlignment="1">
      <alignment horizontal="left"/>
    </xf>
    <xf numFmtId="1" fontId="110" fillId="0" borderId="70" xfId="0" applyNumberFormat="1" applyFont="1" applyFill="1" applyBorder="1" applyAlignment="1">
      <alignment horizontal="left"/>
    </xf>
    <xf numFmtId="2" fontId="97" fillId="0" borderId="10" xfId="42" applyNumberFormat="1" applyFont="1" applyBorder="1" applyAlignment="1">
      <alignment horizontal="left"/>
    </xf>
    <xf numFmtId="1" fontId="97" fillId="0" borderId="24" xfId="0" applyNumberFormat="1" applyFont="1" applyBorder="1" applyAlignment="1">
      <alignment horizontal="left" vertical="center"/>
    </xf>
    <xf numFmtId="0" fontId="97" fillId="0" borderId="0" xfId="0" applyFont="1" applyAlignment="1">
      <alignment/>
    </xf>
    <xf numFmtId="1" fontId="4" fillId="0" borderId="10" xfId="0" applyNumberFormat="1" applyFont="1" applyBorder="1" applyAlignment="1">
      <alignment horizontal="left"/>
    </xf>
    <xf numFmtId="1" fontId="97" fillId="0" borderId="10" xfId="44" applyNumberFormat="1" applyFont="1" applyBorder="1" applyAlignment="1">
      <alignment horizontal="left"/>
    </xf>
    <xf numFmtId="1" fontId="97" fillId="0" borderId="28" xfId="44" applyNumberFormat="1" applyFont="1" applyBorder="1" applyAlignment="1">
      <alignment horizontal="left"/>
    </xf>
    <xf numFmtId="1" fontId="97" fillId="0" borderId="86" xfId="0" applyNumberFormat="1" applyFont="1" applyBorder="1" applyAlignment="1">
      <alignment horizontal="left"/>
    </xf>
    <xf numFmtId="2" fontId="97" fillId="0" borderId="29" xfId="0" applyNumberFormat="1" applyFont="1" applyBorder="1" applyAlignment="1">
      <alignment horizontal="left" wrapText="1"/>
    </xf>
    <xf numFmtId="0" fontId="97" fillId="0" borderId="35" xfId="0" applyFont="1" applyBorder="1" applyAlignment="1">
      <alignment horizontal="left"/>
    </xf>
    <xf numFmtId="1" fontId="97" fillId="0" borderId="35" xfId="0" applyNumberFormat="1" applyFont="1" applyBorder="1" applyAlignment="1">
      <alignment horizontal="left"/>
    </xf>
    <xf numFmtId="2" fontId="111" fillId="0" borderId="59" xfId="0" applyNumberFormat="1" applyFont="1" applyBorder="1" applyAlignment="1">
      <alignment horizontal="left"/>
    </xf>
    <xf numFmtId="2" fontId="88" fillId="0" borderId="22" xfId="0" applyNumberFormat="1" applyFont="1" applyBorder="1" applyAlignment="1">
      <alignment horizontal="left" vertical="center"/>
    </xf>
    <xf numFmtId="2" fontId="118" fillId="0" borderId="45" xfId="0" applyNumberFormat="1" applyFont="1" applyBorder="1" applyAlignment="1">
      <alignment horizontal="left" vertical="center"/>
    </xf>
    <xf numFmtId="2" fontId="99" fillId="0" borderId="33" xfId="0" applyNumberFormat="1" applyFont="1" applyBorder="1" applyAlignment="1">
      <alignment horizontal="left" vertical="center"/>
    </xf>
    <xf numFmtId="1" fontId="88" fillId="0" borderId="38" xfId="0" applyNumberFormat="1" applyFont="1" applyBorder="1" applyAlignment="1">
      <alignment horizontal="left"/>
    </xf>
    <xf numFmtId="0" fontId="87" fillId="0" borderId="80" xfId="0" applyFont="1" applyBorder="1" applyAlignment="1">
      <alignment horizontal="left"/>
    </xf>
    <xf numFmtId="1" fontId="95" fillId="0" borderId="16" xfId="0" applyNumberFormat="1" applyFont="1" applyBorder="1" applyAlignment="1">
      <alignment horizontal="left"/>
    </xf>
    <xf numFmtId="1" fontId="95" fillId="0" borderId="10" xfId="0" applyNumberFormat="1" applyFont="1" applyBorder="1" applyAlignment="1">
      <alignment horizontal="left"/>
    </xf>
    <xf numFmtId="1" fontId="95" fillId="0" borderId="28" xfId="0" applyNumberFormat="1" applyFont="1" applyBorder="1" applyAlignment="1">
      <alignment horizontal="left"/>
    </xf>
    <xf numFmtId="0" fontId="90" fillId="0" borderId="57" xfId="0" applyFont="1" applyBorder="1" applyAlignment="1">
      <alignment horizontal="left"/>
    </xf>
    <xf numFmtId="1" fontId="88" fillId="0" borderId="22" xfId="0" applyNumberFormat="1" applyFont="1" applyFill="1" applyBorder="1" applyAlignment="1">
      <alignment horizontal="left"/>
    </xf>
    <xf numFmtId="1" fontId="88" fillId="0" borderId="45" xfId="0" applyNumberFormat="1" applyFont="1" applyFill="1" applyBorder="1" applyAlignment="1">
      <alignment horizontal="left"/>
    </xf>
    <xf numFmtId="1" fontId="87" fillId="0" borderId="80" xfId="0" applyNumberFormat="1" applyFont="1" applyFill="1" applyBorder="1" applyAlignment="1">
      <alignment horizontal="left"/>
    </xf>
    <xf numFmtId="1" fontId="88" fillId="0" borderId="10" xfId="42" applyNumberFormat="1" applyFont="1" applyBorder="1" applyAlignment="1">
      <alignment horizontal="left"/>
    </xf>
    <xf numFmtId="1" fontId="88" fillId="0" borderId="28" xfId="42" applyNumberFormat="1" applyFont="1" applyBorder="1" applyAlignment="1">
      <alignment horizontal="left"/>
    </xf>
    <xf numFmtId="1" fontId="87" fillId="0" borderId="57" xfId="42" applyNumberFormat="1" applyFont="1" applyBorder="1" applyAlignment="1">
      <alignment horizontal="left"/>
    </xf>
    <xf numFmtId="1" fontId="88" fillId="0" borderId="27" xfId="0" applyNumberFormat="1" applyFont="1" applyBorder="1" applyAlignment="1">
      <alignment horizontal="left" vertical="center"/>
    </xf>
    <xf numFmtId="1" fontId="88" fillId="0" borderId="87" xfId="0" applyNumberFormat="1" applyFont="1" applyBorder="1" applyAlignment="1">
      <alignment horizontal="left" vertical="center"/>
    </xf>
    <xf numFmtId="1" fontId="99" fillId="0" borderId="61" xfId="0" applyNumberFormat="1" applyFont="1" applyBorder="1" applyAlignment="1">
      <alignment horizontal="left" vertical="center"/>
    </xf>
    <xf numFmtId="1" fontId="88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1" fontId="87" fillId="0" borderId="38" xfId="0" applyNumberFormat="1" applyFont="1" applyBorder="1" applyAlignment="1">
      <alignment horizontal="left"/>
    </xf>
    <xf numFmtId="1" fontId="87" fillId="0" borderId="45" xfId="0" applyNumberFormat="1" applyFont="1" applyBorder="1" applyAlignment="1">
      <alignment horizontal="left"/>
    </xf>
    <xf numFmtId="1" fontId="2" fillId="0" borderId="80" xfId="0" applyNumberFormat="1" applyFont="1" applyBorder="1" applyAlignment="1">
      <alignment horizontal="left"/>
    </xf>
    <xf numFmtId="1" fontId="87" fillId="0" borderId="38" xfId="44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left"/>
    </xf>
    <xf numFmtId="3" fontId="90" fillId="0" borderId="40" xfId="0" applyNumberFormat="1" applyFont="1" applyBorder="1" applyAlignment="1">
      <alignment horizontal="left"/>
    </xf>
    <xf numFmtId="3" fontId="90" fillId="0" borderId="42" xfId="0" applyNumberFormat="1" applyFont="1" applyBorder="1" applyAlignment="1">
      <alignment horizontal="left"/>
    </xf>
    <xf numFmtId="3" fontId="90" fillId="0" borderId="10" xfId="0" applyNumberFormat="1" applyFont="1" applyBorder="1" applyAlignment="1">
      <alignment horizontal="left"/>
    </xf>
    <xf numFmtId="3" fontId="90" fillId="0" borderId="12" xfId="0" applyNumberFormat="1" applyFont="1" applyBorder="1" applyAlignment="1">
      <alignment horizontal="left"/>
    </xf>
    <xf numFmtId="164" fontId="90" fillId="0" borderId="10" xfId="0" applyNumberFormat="1" applyFont="1" applyBorder="1" applyAlignment="1">
      <alignment horizontal="left"/>
    </xf>
    <xf numFmtId="0" fontId="90" fillId="0" borderId="10" xfId="0" applyFont="1" applyBorder="1" applyAlignment="1">
      <alignment horizontal="left"/>
    </xf>
    <xf numFmtId="3" fontId="90" fillId="0" borderId="21" xfId="0" applyNumberFormat="1" applyFont="1" applyBorder="1" applyAlignment="1">
      <alignment horizontal="left"/>
    </xf>
    <xf numFmtId="3" fontId="90" fillId="0" borderId="39" xfId="0" applyNumberFormat="1" applyFont="1" applyBorder="1" applyAlignment="1">
      <alignment horizontal="left"/>
    </xf>
    <xf numFmtId="2" fontId="5" fillId="0" borderId="80" xfId="0" applyNumberFormat="1" applyFont="1" applyBorder="1" applyAlignment="1">
      <alignment horizontal="left"/>
    </xf>
    <xf numFmtId="1" fontId="99" fillId="0" borderId="34" xfId="0" applyNumberFormat="1" applyFont="1" applyBorder="1" applyAlignment="1">
      <alignment horizontal="left" vertical="center"/>
    </xf>
    <xf numFmtId="1" fontId="99" fillId="0" borderId="75" xfId="0" applyNumberFormat="1" applyFont="1" applyBorder="1" applyAlignment="1">
      <alignment horizontal="left" vertical="center"/>
    </xf>
    <xf numFmtId="0" fontId="5" fillId="0" borderId="57" xfId="0" applyFont="1" applyBorder="1" applyAlignment="1">
      <alignment horizontal="left"/>
    </xf>
    <xf numFmtId="1" fontId="87" fillId="0" borderId="16" xfId="0" applyNumberFormat="1" applyFont="1" applyFill="1" applyBorder="1" applyAlignment="1">
      <alignment horizontal="left"/>
    </xf>
    <xf numFmtId="1" fontId="87" fillId="0" borderId="18" xfId="0" applyNumberFormat="1" applyFont="1" applyFill="1" applyBorder="1" applyAlignment="1">
      <alignment horizontal="left"/>
    </xf>
    <xf numFmtId="1" fontId="87" fillId="0" borderId="28" xfId="0" applyNumberFormat="1" applyFont="1" applyFill="1" applyBorder="1" applyAlignment="1">
      <alignment horizontal="left"/>
    </xf>
    <xf numFmtId="1" fontId="5" fillId="0" borderId="57" xfId="0" applyNumberFormat="1" applyFont="1" applyFill="1" applyBorder="1" applyAlignment="1">
      <alignment horizontal="left"/>
    </xf>
    <xf numFmtId="1" fontId="98" fillId="0" borderId="13" xfId="0" applyNumberFormat="1" applyFont="1" applyBorder="1" applyAlignment="1">
      <alignment horizontal="left"/>
    </xf>
    <xf numFmtId="1" fontId="96" fillId="0" borderId="13" xfId="42" applyNumberFormat="1" applyFont="1" applyBorder="1" applyAlignment="1">
      <alignment horizontal="left"/>
    </xf>
    <xf numFmtId="2" fontId="92" fillId="0" borderId="78" xfId="0" applyNumberFormat="1" applyFont="1" applyBorder="1" applyAlignment="1">
      <alignment horizontal="left"/>
    </xf>
    <xf numFmtId="2" fontId="87" fillId="0" borderId="16" xfId="0" applyNumberFormat="1" applyFont="1" applyBorder="1" applyAlignment="1">
      <alignment horizontal="left" vertical="center"/>
    </xf>
    <xf numFmtId="2" fontId="87" fillId="0" borderId="18" xfId="0" applyNumberFormat="1" applyFont="1" applyBorder="1" applyAlignment="1">
      <alignment horizontal="left" vertical="center"/>
    </xf>
    <xf numFmtId="2" fontId="87" fillId="0" borderId="28" xfId="0" applyNumberFormat="1" applyFont="1" applyBorder="1" applyAlignment="1">
      <alignment horizontal="left" vertical="center"/>
    </xf>
    <xf numFmtId="2" fontId="88" fillId="0" borderId="0" xfId="0" applyNumberFormat="1" applyFont="1" applyAlignment="1">
      <alignment/>
    </xf>
    <xf numFmtId="0" fontId="96" fillId="0" borderId="0" xfId="0" applyFont="1" applyFill="1" applyBorder="1" applyAlignment="1">
      <alignment/>
    </xf>
    <xf numFmtId="0" fontId="12" fillId="0" borderId="15" xfId="0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justify" wrapText="1"/>
    </xf>
    <xf numFmtId="0" fontId="12" fillId="0" borderId="26" xfId="0" applyFont="1" applyBorder="1" applyAlignment="1">
      <alignment horizontal="center" vertical="justify" wrapText="1"/>
    </xf>
    <xf numFmtId="0" fontId="12" fillId="0" borderId="32" xfId="0" applyFont="1" applyBorder="1" applyAlignment="1">
      <alignment horizontal="center" vertical="justify" wrapText="1"/>
    </xf>
    <xf numFmtId="0" fontId="12" fillId="0" borderId="33" xfId="0" applyFont="1" applyBorder="1" applyAlignment="1">
      <alignment horizontal="center" vertical="justify" wrapText="1"/>
    </xf>
    <xf numFmtId="0" fontId="12" fillId="0" borderId="68" xfId="0" applyFont="1" applyBorder="1" applyAlignment="1">
      <alignment horizontal="center" vertical="justify" wrapText="1"/>
    </xf>
    <xf numFmtId="0" fontId="12" fillId="0" borderId="61" xfId="0" applyFont="1" applyBorder="1" applyAlignment="1">
      <alignment horizontal="center" vertical="justify" wrapText="1"/>
    </xf>
    <xf numFmtId="0" fontId="12" fillId="0" borderId="63" xfId="0" applyFont="1" applyBorder="1" applyAlignment="1">
      <alignment horizontal="center" vertical="justify" wrapText="1"/>
    </xf>
    <xf numFmtId="0" fontId="12" fillId="0" borderId="46" xfId="0" applyFont="1" applyBorder="1" applyAlignment="1">
      <alignment horizontal="center" vertical="justify" wrapText="1"/>
    </xf>
    <xf numFmtId="0" fontId="12" fillId="0" borderId="47" xfId="0" applyFont="1" applyBorder="1" applyAlignment="1">
      <alignment horizontal="center" vertical="justify" wrapText="1"/>
    </xf>
    <xf numFmtId="0" fontId="12" fillId="0" borderId="48" xfId="0" applyFont="1" applyBorder="1" applyAlignment="1">
      <alignment horizontal="center" vertical="justify" wrapText="1"/>
    </xf>
    <xf numFmtId="0" fontId="12" fillId="0" borderId="78" xfId="0" applyFont="1" applyBorder="1" applyAlignment="1">
      <alignment horizontal="center" vertical="justify" wrapText="1"/>
    </xf>
    <xf numFmtId="0" fontId="12" fillId="0" borderId="52" xfId="0" applyFont="1" applyBorder="1" applyAlignment="1">
      <alignment horizontal="center" vertical="justify" wrapText="1"/>
    </xf>
    <xf numFmtId="0" fontId="12" fillId="0" borderId="58" xfId="0" applyFont="1" applyBorder="1" applyAlignment="1">
      <alignment horizontal="center" vertical="justify" wrapText="1"/>
    </xf>
    <xf numFmtId="1" fontId="12" fillId="0" borderId="68" xfId="0" applyNumberFormat="1" applyFont="1" applyBorder="1" applyAlignment="1">
      <alignment horizontal="center" vertical="justify" wrapText="1"/>
    </xf>
    <xf numFmtId="1" fontId="12" fillId="0" borderId="61" xfId="0" applyNumberFormat="1" applyFont="1" applyBorder="1" applyAlignment="1">
      <alignment horizontal="center" vertical="justify" wrapText="1"/>
    </xf>
    <xf numFmtId="0" fontId="120" fillId="0" borderId="0" xfId="0" applyFont="1" applyAlignment="1">
      <alignment horizontal="left"/>
    </xf>
    <xf numFmtId="0" fontId="121" fillId="0" borderId="65" xfId="0" applyFont="1" applyBorder="1" applyAlignment="1">
      <alignment horizontal="left" vertical="center" wrapText="1"/>
    </xf>
    <xf numFmtId="0" fontId="122" fillId="0" borderId="0" xfId="0" applyFont="1" applyAlignment="1">
      <alignment horizontal="left"/>
    </xf>
    <xf numFmtId="2" fontId="12" fillId="0" borderId="40" xfId="0" applyNumberFormat="1" applyFont="1" applyBorder="1" applyAlignment="1">
      <alignment horizontal="left" vertical="center"/>
    </xf>
    <xf numFmtId="2" fontId="12" fillId="0" borderId="41" xfId="0" applyNumberFormat="1" applyFont="1" applyBorder="1" applyAlignment="1">
      <alignment horizontal="left" vertical="center"/>
    </xf>
    <xf numFmtId="2" fontId="12" fillId="0" borderId="42" xfId="0" applyNumberFormat="1" applyFont="1" applyBorder="1" applyAlignment="1">
      <alignment horizontal="left" vertical="center"/>
    </xf>
    <xf numFmtId="2" fontId="12" fillId="0" borderId="66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2" fontId="12" fillId="0" borderId="57" xfId="0" applyNumberFormat="1" applyFont="1" applyBorder="1" applyAlignment="1">
      <alignment horizontal="left" vertical="center"/>
    </xf>
    <xf numFmtId="2" fontId="12" fillId="0" borderId="56" xfId="0" applyNumberFormat="1" applyFont="1" applyBorder="1" applyAlignment="1">
      <alignment horizontal="left" vertical="center"/>
    </xf>
    <xf numFmtId="2" fontId="12" fillId="0" borderId="74" xfId="0" applyNumberFormat="1" applyFont="1" applyBorder="1" applyAlignment="1">
      <alignment horizontal="left" vertical="center"/>
    </xf>
    <xf numFmtId="2" fontId="12" fillId="0" borderId="55" xfId="0" applyNumberFormat="1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2" fontId="12" fillId="0" borderId="16" xfId="0" applyNumberFormat="1" applyFont="1" applyBorder="1" applyAlignment="1">
      <alignment horizontal="left" vertical="center"/>
    </xf>
    <xf numFmtId="2" fontId="12" fillId="0" borderId="14" xfId="0" applyNumberFormat="1" applyFont="1" applyBorder="1" applyAlignment="1">
      <alignment horizontal="left" vertical="center"/>
    </xf>
    <xf numFmtId="2" fontId="12" fillId="0" borderId="18" xfId="0" applyNumberFormat="1" applyFont="1" applyBorder="1" applyAlignment="1">
      <alignment horizontal="left" vertical="center"/>
    </xf>
    <xf numFmtId="3" fontId="123" fillId="0" borderId="15" xfId="0" applyNumberFormat="1" applyFont="1" applyBorder="1" applyAlignment="1">
      <alignment horizontal="left"/>
    </xf>
    <xf numFmtId="3" fontId="123" fillId="0" borderId="0" xfId="0" applyNumberFormat="1" applyFont="1" applyBorder="1" applyAlignment="1">
      <alignment horizontal="left"/>
    </xf>
    <xf numFmtId="0" fontId="123" fillId="0" borderId="26" xfId="0" applyFont="1" applyBorder="1" applyAlignment="1">
      <alignment horizontal="left"/>
    </xf>
    <xf numFmtId="3" fontId="123" fillId="0" borderId="40" xfId="0" applyNumberFormat="1" applyFont="1" applyBorder="1" applyAlignment="1">
      <alignment horizontal="left"/>
    </xf>
    <xf numFmtId="3" fontId="123" fillId="0" borderId="41" xfId="0" applyNumberFormat="1" applyFont="1" applyBorder="1" applyAlignment="1">
      <alignment horizontal="left"/>
    </xf>
    <xf numFmtId="0" fontId="123" fillId="0" borderId="42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3" fontId="13" fillId="0" borderId="26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164" fontId="14" fillId="0" borderId="40" xfId="0" applyNumberFormat="1" applyFont="1" applyBorder="1" applyAlignment="1">
      <alignment horizontal="left"/>
    </xf>
    <xf numFmtId="164" fontId="14" fillId="0" borderId="41" xfId="0" applyNumberFormat="1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164" fontId="14" fillId="0" borderId="66" xfId="0" applyNumberFormat="1" applyFont="1" applyFill="1" applyBorder="1" applyAlignment="1">
      <alignment horizontal="right"/>
    </xf>
    <xf numFmtId="164" fontId="14" fillId="0" borderId="41" xfId="0" applyNumberFormat="1" applyFont="1" applyFill="1" applyBorder="1" applyAlignment="1">
      <alignment horizontal="right"/>
    </xf>
    <xf numFmtId="0" fontId="14" fillId="0" borderId="42" xfId="0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center" vertical="justify" wrapText="1"/>
    </xf>
    <xf numFmtId="1" fontId="12" fillId="0" borderId="16" xfId="0" applyNumberFormat="1" applyFont="1" applyBorder="1" applyAlignment="1">
      <alignment horizontal="left" vertical="center"/>
    </xf>
    <xf numFmtId="2" fontId="12" fillId="0" borderId="37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1" fontId="15" fillId="0" borderId="0" xfId="0" applyNumberFormat="1" applyFont="1" applyAlignment="1">
      <alignment horizontal="left"/>
    </xf>
    <xf numFmtId="2" fontId="122" fillId="0" borderId="10" xfId="0" applyNumberFormat="1" applyFont="1" applyBorder="1" applyAlignment="1">
      <alignment horizontal="left" vertical="center"/>
    </xf>
    <xf numFmtId="2" fontId="122" fillId="0" borderId="11" xfId="0" applyNumberFormat="1" applyFont="1" applyBorder="1" applyAlignment="1">
      <alignment horizontal="left" vertical="center"/>
    </xf>
    <xf numFmtId="2" fontId="122" fillId="0" borderId="12" xfId="0" applyNumberFormat="1" applyFont="1" applyBorder="1" applyAlignment="1">
      <alignment horizontal="left" vertical="center"/>
    </xf>
    <xf numFmtId="2" fontId="122" fillId="0" borderId="13" xfId="0" applyNumberFormat="1" applyFont="1" applyBorder="1" applyAlignment="1">
      <alignment horizontal="left" vertical="center"/>
    </xf>
    <xf numFmtId="2" fontId="122" fillId="0" borderId="10" xfId="0" applyNumberFormat="1" applyFont="1" applyBorder="1" applyAlignment="1">
      <alignment horizontal="left"/>
    </xf>
    <xf numFmtId="2" fontId="122" fillId="0" borderId="11" xfId="0" applyNumberFormat="1" applyFont="1" applyBorder="1" applyAlignment="1">
      <alignment horizontal="left"/>
    </xf>
    <xf numFmtId="2" fontId="122" fillId="0" borderId="12" xfId="0" applyNumberFormat="1" applyFont="1" applyBorder="1" applyAlignment="1">
      <alignment horizontal="left"/>
    </xf>
    <xf numFmtId="2" fontId="122" fillId="0" borderId="13" xfId="0" applyNumberFormat="1" applyFont="1" applyBorder="1" applyAlignment="1">
      <alignment horizontal="left"/>
    </xf>
    <xf numFmtId="0" fontId="121" fillId="0" borderId="12" xfId="0" applyFont="1" applyBorder="1" applyAlignment="1">
      <alignment horizontal="left" vertical="center"/>
    </xf>
    <xf numFmtId="0" fontId="121" fillId="0" borderId="14" xfId="0" applyFont="1" applyBorder="1" applyAlignment="1">
      <alignment horizontal="left" vertical="center"/>
    </xf>
    <xf numFmtId="0" fontId="121" fillId="0" borderId="18" xfId="0" applyFont="1" applyBorder="1" applyAlignment="1">
      <alignment horizontal="left" vertical="center"/>
    </xf>
    <xf numFmtId="2" fontId="122" fillId="0" borderId="40" xfId="0" applyNumberFormat="1" applyFont="1" applyBorder="1" applyAlignment="1">
      <alignment horizontal="left"/>
    </xf>
    <xf numFmtId="2" fontId="122" fillId="0" borderId="41" xfId="0" applyNumberFormat="1" applyFont="1" applyBorder="1" applyAlignment="1">
      <alignment horizontal="left"/>
    </xf>
    <xf numFmtId="2" fontId="122" fillId="0" borderId="42" xfId="0" applyNumberFormat="1" applyFont="1" applyBorder="1" applyAlignment="1">
      <alignment horizontal="left"/>
    </xf>
    <xf numFmtId="2" fontId="122" fillId="0" borderId="66" xfId="0" applyNumberFormat="1" applyFont="1" applyBorder="1" applyAlignment="1">
      <alignment horizontal="left"/>
    </xf>
    <xf numFmtId="2" fontId="121" fillId="0" borderId="42" xfId="0" applyNumberFormat="1" applyFont="1" applyBorder="1" applyAlignment="1">
      <alignment horizontal="left" vertical="center"/>
    </xf>
    <xf numFmtId="2" fontId="122" fillId="0" borderId="53" xfId="0" applyNumberFormat="1" applyFont="1" applyBorder="1" applyAlignment="1">
      <alignment horizontal="left"/>
    </xf>
    <xf numFmtId="0" fontId="122" fillId="0" borderId="26" xfId="0" applyFont="1" applyBorder="1" applyAlignment="1">
      <alignment horizontal="left"/>
    </xf>
    <xf numFmtId="2" fontId="122" fillId="0" borderId="10" xfId="44" applyNumberFormat="1" applyFont="1" applyBorder="1" applyAlignment="1">
      <alignment horizontal="left"/>
    </xf>
    <xf numFmtId="2" fontId="122" fillId="0" borderId="11" xfId="44" applyNumberFormat="1" applyFont="1" applyBorder="1" applyAlignment="1">
      <alignment horizontal="left"/>
    </xf>
    <xf numFmtId="2" fontId="122" fillId="0" borderId="12" xfId="44" applyNumberFormat="1" applyFont="1" applyBorder="1" applyAlignment="1">
      <alignment horizontal="left"/>
    </xf>
    <xf numFmtId="2" fontId="122" fillId="0" borderId="13" xfId="44" applyNumberFormat="1" applyFont="1" applyBorder="1" applyAlignment="1">
      <alignment horizontal="left"/>
    </xf>
    <xf numFmtId="2" fontId="122" fillId="0" borderId="13" xfId="0" applyNumberFormat="1" applyFont="1" applyBorder="1" applyAlignment="1">
      <alignment horizontal="left" wrapText="1"/>
    </xf>
    <xf numFmtId="2" fontId="124" fillId="0" borderId="13" xfId="0" applyNumberFormat="1" applyFont="1" applyBorder="1" applyAlignment="1">
      <alignment horizontal="left"/>
    </xf>
    <xf numFmtId="2" fontId="124" fillId="0" borderId="11" xfId="0" applyNumberFormat="1" applyFont="1" applyBorder="1" applyAlignment="1">
      <alignment horizontal="left"/>
    </xf>
    <xf numFmtId="2" fontId="124" fillId="0" borderId="12" xfId="0" applyNumberFormat="1" applyFont="1" applyBorder="1" applyAlignment="1">
      <alignment horizontal="left"/>
    </xf>
    <xf numFmtId="2" fontId="122" fillId="0" borderId="13" xfId="0" applyNumberFormat="1" applyFont="1" applyFill="1" applyBorder="1" applyAlignment="1">
      <alignment horizontal="left"/>
    </xf>
    <xf numFmtId="2" fontId="122" fillId="0" borderId="11" xfId="0" applyNumberFormat="1" applyFont="1" applyFill="1" applyBorder="1" applyAlignment="1">
      <alignment horizontal="left"/>
    </xf>
    <xf numFmtId="2" fontId="122" fillId="0" borderId="12" xfId="0" applyNumberFormat="1" applyFont="1" applyFill="1" applyBorder="1" applyAlignment="1">
      <alignment horizontal="left"/>
    </xf>
    <xf numFmtId="2" fontId="122" fillId="0" borderId="10" xfId="42" applyNumberFormat="1" applyFont="1" applyBorder="1" applyAlignment="1">
      <alignment horizontal="left"/>
    </xf>
    <xf numFmtId="2" fontId="122" fillId="0" borderId="11" xfId="42" applyNumberFormat="1" applyFont="1" applyBorder="1" applyAlignment="1">
      <alignment horizontal="left"/>
    </xf>
    <xf numFmtId="2" fontId="122" fillId="0" borderId="12" xfId="42" applyNumberFormat="1" applyFont="1" applyBorder="1" applyAlignment="1">
      <alignment horizontal="left"/>
    </xf>
    <xf numFmtId="2" fontId="122" fillId="0" borderId="13" xfId="42" applyNumberFormat="1" applyFont="1" applyBorder="1" applyAlignment="1">
      <alignment horizontal="left"/>
    </xf>
    <xf numFmtId="1" fontId="121" fillId="0" borderId="16" xfId="0" applyNumberFormat="1" applyFont="1" applyBorder="1" applyAlignment="1">
      <alignment horizontal="left" vertical="center"/>
    </xf>
    <xf numFmtId="2" fontId="121" fillId="0" borderId="37" xfId="0" applyNumberFormat="1" applyFont="1" applyBorder="1" applyAlignment="1">
      <alignment horizontal="left" vertical="center"/>
    </xf>
    <xf numFmtId="10" fontId="122" fillId="0" borderId="10" xfId="0" applyNumberFormat="1" applyFont="1" applyBorder="1" applyAlignment="1">
      <alignment horizontal="left"/>
    </xf>
    <xf numFmtId="10" fontId="122" fillId="0" borderId="13" xfId="0" applyNumberFormat="1" applyFont="1" applyBorder="1" applyAlignment="1">
      <alignment horizontal="left"/>
    </xf>
    <xf numFmtId="10" fontId="122" fillId="0" borderId="11" xfId="0" applyNumberFormat="1" applyFont="1" applyBorder="1" applyAlignment="1">
      <alignment horizontal="left"/>
    </xf>
    <xf numFmtId="10" fontId="122" fillId="0" borderId="12" xfId="0" applyNumberFormat="1" applyFont="1" applyBorder="1" applyAlignment="1">
      <alignment horizontal="left"/>
    </xf>
    <xf numFmtId="10" fontId="121" fillId="0" borderId="12" xfId="0" applyNumberFormat="1" applyFont="1" applyBorder="1" applyAlignment="1">
      <alignment horizontal="left" vertical="center"/>
    </xf>
    <xf numFmtId="10" fontId="122" fillId="0" borderId="53" xfId="0" applyNumberFormat="1" applyFont="1" applyBorder="1" applyAlignment="1">
      <alignment horizontal="left"/>
    </xf>
    <xf numFmtId="10" fontId="122" fillId="0" borderId="10" xfId="44" applyNumberFormat="1" applyFont="1" applyBorder="1" applyAlignment="1">
      <alignment horizontal="left"/>
    </xf>
    <xf numFmtId="10" fontId="122" fillId="0" borderId="11" xfId="44" applyNumberFormat="1" applyFont="1" applyBorder="1" applyAlignment="1">
      <alignment horizontal="left"/>
    </xf>
    <xf numFmtId="10" fontId="122" fillId="0" borderId="12" xfId="44" applyNumberFormat="1" applyFont="1" applyBorder="1" applyAlignment="1">
      <alignment horizontal="left"/>
    </xf>
    <xf numFmtId="10" fontId="122" fillId="0" borderId="13" xfId="44" applyNumberFormat="1" applyFont="1" applyBorder="1" applyAlignment="1">
      <alignment horizontal="left"/>
    </xf>
    <xf numFmtId="2" fontId="122" fillId="0" borderId="21" xfId="0" applyNumberFormat="1" applyFont="1" applyBorder="1" applyAlignment="1">
      <alignment horizontal="left" vertical="center"/>
    </xf>
    <xf numFmtId="2" fontId="122" fillId="0" borderId="20" xfId="0" applyNumberFormat="1" applyFont="1" applyBorder="1" applyAlignment="1">
      <alignment horizontal="left" vertical="center"/>
    </xf>
    <xf numFmtId="2" fontId="122" fillId="0" borderId="39" xfId="0" applyNumberFormat="1" applyFont="1" applyBorder="1" applyAlignment="1">
      <alignment horizontal="left" vertical="center"/>
    </xf>
    <xf numFmtId="2" fontId="122" fillId="0" borderId="69" xfId="0" applyNumberFormat="1" applyFont="1" applyBorder="1" applyAlignment="1">
      <alignment horizontal="left" vertical="center"/>
    </xf>
    <xf numFmtId="2" fontId="122" fillId="0" borderId="21" xfId="0" applyNumberFormat="1" applyFont="1" applyBorder="1" applyAlignment="1">
      <alignment horizontal="left"/>
    </xf>
    <xf numFmtId="2" fontId="122" fillId="0" borderId="20" xfId="0" applyNumberFormat="1" applyFont="1" applyBorder="1" applyAlignment="1">
      <alignment horizontal="left"/>
    </xf>
    <xf numFmtId="2" fontId="122" fillId="0" borderId="39" xfId="0" applyNumberFormat="1" applyFont="1" applyBorder="1" applyAlignment="1">
      <alignment horizontal="left"/>
    </xf>
    <xf numFmtId="2" fontId="122" fillId="0" borderId="69" xfId="0" applyNumberFormat="1" applyFont="1" applyBorder="1" applyAlignment="1">
      <alignment horizontal="left"/>
    </xf>
    <xf numFmtId="0" fontId="121" fillId="0" borderId="39" xfId="0" applyFont="1" applyBorder="1" applyAlignment="1">
      <alignment horizontal="left" vertical="center"/>
    </xf>
    <xf numFmtId="10" fontId="122" fillId="0" borderId="21" xfId="0" applyNumberFormat="1" applyFont="1" applyBorder="1" applyAlignment="1">
      <alignment horizontal="left"/>
    </xf>
    <xf numFmtId="0" fontId="121" fillId="0" borderId="43" xfId="0" applyFont="1" applyBorder="1" applyAlignment="1">
      <alignment horizontal="left" vertical="center"/>
    </xf>
    <xf numFmtId="0" fontId="121" fillId="0" borderId="75" xfId="0" applyFont="1" applyBorder="1" applyAlignment="1">
      <alignment horizontal="left" vertical="center"/>
    </xf>
    <xf numFmtId="10" fontId="122" fillId="0" borderId="69" xfId="0" applyNumberFormat="1" applyFont="1" applyBorder="1" applyAlignment="1">
      <alignment horizontal="left"/>
    </xf>
    <xf numFmtId="10" fontId="122" fillId="0" borderId="39" xfId="0" applyNumberFormat="1" applyFont="1" applyBorder="1" applyAlignment="1">
      <alignment horizontal="left"/>
    </xf>
    <xf numFmtId="10" fontId="122" fillId="0" borderId="82" xfId="0" applyNumberFormat="1" applyFont="1" applyBorder="1" applyAlignment="1">
      <alignment horizontal="left"/>
    </xf>
    <xf numFmtId="10" fontId="122" fillId="0" borderId="20" xfId="0" applyNumberFormat="1" applyFont="1" applyBorder="1" applyAlignment="1">
      <alignment horizontal="left"/>
    </xf>
    <xf numFmtId="2" fontId="122" fillId="0" borderId="21" xfId="44" applyNumberFormat="1" applyFont="1" applyBorder="1" applyAlignment="1">
      <alignment horizontal="left"/>
    </xf>
    <xf numFmtId="2" fontId="122" fillId="0" borderId="20" xfId="44" applyNumberFormat="1" applyFont="1" applyBorder="1" applyAlignment="1">
      <alignment horizontal="left"/>
    </xf>
    <xf numFmtId="2" fontId="122" fillId="0" borderId="39" xfId="44" applyNumberFormat="1" applyFont="1" applyBorder="1" applyAlignment="1">
      <alignment horizontal="left"/>
    </xf>
    <xf numFmtId="2" fontId="122" fillId="0" borderId="69" xfId="44" applyNumberFormat="1" applyFont="1" applyBorder="1" applyAlignment="1">
      <alignment horizontal="left"/>
    </xf>
    <xf numFmtId="2" fontId="122" fillId="0" borderId="69" xfId="0" applyNumberFormat="1" applyFont="1" applyBorder="1" applyAlignment="1">
      <alignment horizontal="left" wrapText="1"/>
    </xf>
    <xf numFmtId="2" fontId="124" fillId="0" borderId="69" xfId="0" applyNumberFormat="1" applyFont="1" applyBorder="1" applyAlignment="1">
      <alignment horizontal="left"/>
    </xf>
    <xf numFmtId="2" fontId="124" fillId="0" borderId="20" xfId="0" applyNumberFormat="1" applyFont="1" applyBorder="1" applyAlignment="1">
      <alignment horizontal="left"/>
    </xf>
    <xf numFmtId="2" fontId="124" fillId="0" borderId="39" xfId="0" applyNumberFormat="1" applyFont="1" applyBorder="1" applyAlignment="1">
      <alignment horizontal="left"/>
    </xf>
    <xf numFmtId="2" fontId="122" fillId="0" borderId="69" xfId="0" applyNumberFormat="1" applyFont="1" applyFill="1" applyBorder="1" applyAlignment="1">
      <alignment horizontal="left"/>
    </xf>
    <xf numFmtId="2" fontId="122" fillId="0" borderId="20" xfId="0" applyNumberFormat="1" applyFont="1" applyFill="1" applyBorder="1" applyAlignment="1">
      <alignment horizontal="left"/>
    </xf>
    <xf numFmtId="2" fontId="122" fillId="0" borderId="39" xfId="0" applyNumberFormat="1" applyFont="1" applyFill="1" applyBorder="1" applyAlignment="1">
      <alignment horizontal="left"/>
    </xf>
    <xf numFmtId="2" fontId="122" fillId="0" borderId="21" xfId="42" applyNumberFormat="1" applyFont="1" applyBorder="1" applyAlignment="1">
      <alignment horizontal="left"/>
    </xf>
    <xf numFmtId="2" fontId="122" fillId="0" borderId="20" xfId="42" applyNumberFormat="1" applyFont="1" applyBorder="1" applyAlignment="1">
      <alignment horizontal="left"/>
    </xf>
    <xf numFmtId="2" fontId="122" fillId="0" borderId="39" xfId="42" applyNumberFormat="1" applyFont="1" applyBorder="1" applyAlignment="1">
      <alignment horizontal="left"/>
    </xf>
    <xf numFmtId="2" fontId="122" fillId="0" borderId="69" xfId="42" applyNumberFormat="1" applyFont="1" applyBorder="1" applyAlignment="1">
      <alignment horizontal="left"/>
    </xf>
    <xf numFmtId="1" fontId="121" fillId="0" borderId="34" xfId="0" applyNumberFormat="1" applyFont="1" applyBorder="1" applyAlignment="1">
      <alignment horizontal="left" vertical="center"/>
    </xf>
    <xf numFmtId="2" fontId="121" fillId="0" borderId="86" xfId="0" applyNumberFormat="1" applyFont="1" applyBorder="1" applyAlignment="1">
      <alignment horizontal="left" vertical="center"/>
    </xf>
    <xf numFmtId="4" fontId="97" fillId="0" borderId="0" xfId="0" applyNumberFormat="1" applyFont="1" applyAlignment="1">
      <alignment horizontal="left"/>
    </xf>
    <xf numFmtId="1" fontId="96" fillId="0" borderId="58" xfId="0" applyNumberFormat="1" applyFont="1" applyFill="1" applyBorder="1" applyAlignment="1">
      <alignment horizontal="center" vertical="center" wrapText="1"/>
    </xf>
    <xf numFmtId="1" fontId="96" fillId="0" borderId="52" xfId="0" applyNumberFormat="1" applyFont="1" applyFill="1" applyBorder="1" applyAlignment="1">
      <alignment horizontal="center" vertical="center" wrapText="1"/>
    </xf>
    <xf numFmtId="1" fontId="96" fillId="0" borderId="68" xfId="0" applyNumberFormat="1" applyFont="1" applyFill="1" applyBorder="1" applyAlignment="1">
      <alignment horizontal="center" vertical="center" wrapText="1"/>
    </xf>
    <xf numFmtId="1" fontId="96" fillId="0" borderId="68" xfId="0" applyNumberFormat="1" applyFont="1" applyFill="1" applyBorder="1" applyAlignment="1">
      <alignment horizontal="center" vertical="justify" wrapText="1"/>
    </xf>
    <xf numFmtId="1" fontId="96" fillId="0" borderId="78" xfId="0" applyNumberFormat="1" applyFont="1" applyFill="1" applyBorder="1" applyAlignment="1">
      <alignment horizontal="center" vertical="center" wrapText="1"/>
    </xf>
    <xf numFmtId="1" fontId="96" fillId="0" borderId="52" xfId="0" applyNumberFormat="1" applyFont="1" applyFill="1" applyBorder="1" applyAlignment="1">
      <alignment horizontal="center" vertical="center" wrapText="1"/>
    </xf>
    <xf numFmtId="2" fontId="110" fillId="0" borderId="62" xfId="0" applyNumberFormat="1" applyFont="1" applyBorder="1" applyAlignment="1">
      <alignment horizontal="left" vertical="center"/>
    </xf>
    <xf numFmtId="1" fontId="97" fillId="0" borderId="57" xfId="0" applyNumberFormat="1" applyFont="1" applyBorder="1" applyAlignment="1">
      <alignment horizontal="left"/>
    </xf>
    <xf numFmtId="2" fontId="110" fillId="0" borderId="60" xfId="0" applyNumberFormat="1" applyFont="1" applyBorder="1" applyAlignment="1">
      <alignment horizontal="left" vertical="center"/>
    </xf>
    <xf numFmtId="1" fontId="110" fillId="0" borderId="63" xfId="0" applyNumberFormat="1" applyFont="1" applyBorder="1" applyAlignment="1">
      <alignment horizontal="left"/>
    </xf>
    <xf numFmtId="1" fontId="110" fillId="0" borderId="73" xfId="0" applyNumberFormat="1" applyFont="1" applyBorder="1" applyAlignment="1">
      <alignment horizontal="left"/>
    </xf>
    <xf numFmtId="1" fontId="97" fillId="0" borderId="48" xfId="0" applyNumberFormat="1" applyFont="1" applyBorder="1" applyAlignment="1">
      <alignment horizontal="left"/>
    </xf>
    <xf numFmtId="0" fontId="96" fillId="0" borderId="83" xfId="0" applyFont="1" applyBorder="1" applyAlignment="1">
      <alignment horizontal="left" vertical="center"/>
    </xf>
    <xf numFmtId="1" fontId="93" fillId="0" borderId="12" xfId="0" applyNumberFormat="1" applyFont="1" applyBorder="1" applyAlignment="1">
      <alignment horizontal="left"/>
    </xf>
    <xf numFmtId="0" fontId="95" fillId="0" borderId="0" xfId="0" applyFont="1" applyAlignment="1">
      <alignment horizontal="left"/>
    </xf>
    <xf numFmtId="1" fontId="96" fillId="0" borderId="50" xfId="0" applyNumberFormat="1" applyFont="1" applyFill="1" applyBorder="1" applyAlignment="1">
      <alignment horizontal="center" vertical="justify" wrapText="1"/>
    </xf>
    <xf numFmtId="1" fontId="96" fillId="0" borderId="50" xfId="0" applyNumberFormat="1" applyFont="1" applyFill="1" applyBorder="1" applyAlignment="1">
      <alignment horizontal="center" vertical="center" wrapText="1"/>
    </xf>
    <xf numFmtId="0" fontId="97" fillId="0" borderId="0" xfId="0" applyFont="1" applyFill="1" applyAlignment="1">
      <alignment/>
    </xf>
    <xf numFmtId="0" fontId="111" fillId="0" borderId="0" xfId="0" applyFont="1" applyAlignment="1">
      <alignment/>
    </xf>
    <xf numFmtId="0" fontId="91" fillId="0" borderId="37" xfId="0" applyFont="1" applyBorder="1" applyAlignment="1">
      <alignment/>
    </xf>
    <xf numFmtId="0" fontId="91" fillId="0" borderId="19" xfId="0" applyFont="1" applyBorder="1" applyAlignment="1">
      <alignment/>
    </xf>
    <xf numFmtId="0" fontId="91" fillId="0" borderId="85" xfId="0" applyFont="1" applyBorder="1" applyAlignment="1">
      <alignment/>
    </xf>
    <xf numFmtId="0" fontId="91" fillId="0" borderId="23" xfId="0" applyFont="1" applyBorder="1" applyAlignment="1">
      <alignment/>
    </xf>
    <xf numFmtId="0" fontId="118" fillId="0" borderId="25" xfId="0" applyFont="1" applyBorder="1" applyAlignment="1">
      <alignment horizontal="left"/>
    </xf>
    <xf numFmtId="0" fontId="91" fillId="0" borderId="36" xfId="0" applyFont="1" applyBorder="1" applyAlignment="1">
      <alignment/>
    </xf>
    <xf numFmtId="0" fontId="91" fillId="0" borderId="77" xfId="0" applyFont="1" applyBorder="1" applyAlignment="1">
      <alignment/>
    </xf>
    <xf numFmtId="0" fontId="91" fillId="0" borderId="87" xfId="0" applyFont="1" applyBorder="1" applyAlignment="1">
      <alignment/>
    </xf>
    <xf numFmtId="0" fontId="91" fillId="0" borderId="51" xfId="0" applyFont="1" applyBorder="1" applyAlignment="1">
      <alignment/>
    </xf>
    <xf numFmtId="0" fontId="91" fillId="0" borderId="71" xfId="0" applyFont="1" applyBorder="1" applyAlignment="1">
      <alignment/>
    </xf>
    <xf numFmtId="0" fontId="91" fillId="0" borderId="70" xfId="0" applyFont="1" applyBorder="1" applyAlignment="1">
      <alignment/>
    </xf>
    <xf numFmtId="0" fontId="95" fillId="0" borderId="44" xfId="0" applyFont="1" applyBorder="1" applyAlignment="1">
      <alignment horizontal="left"/>
    </xf>
    <xf numFmtId="0" fontId="95" fillId="0" borderId="24" xfId="0" applyFont="1" applyBorder="1" applyAlignment="1">
      <alignment horizontal="left"/>
    </xf>
    <xf numFmtId="164" fontId="90" fillId="0" borderId="51" xfId="0" applyNumberFormat="1" applyFont="1" applyBorder="1" applyAlignment="1">
      <alignment horizontal="left"/>
    </xf>
    <xf numFmtId="0" fontId="90" fillId="0" borderId="51" xfId="0" applyFont="1" applyBorder="1" applyAlignment="1">
      <alignment horizontal="left"/>
    </xf>
    <xf numFmtId="0" fontId="105" fillId="0" borderId="50" xfId="0" applyFont="1" applyBorder="1" applyAlignment="1">
      <alignment horizontal="left"/>
    </xf>
    <xf numFmtId="1" fontId="96" fillId="0" borderId="58" xfId="0" applyNumberFormat="1" applyFont="1" applyBorder="1" applyAlignment="1">
      <alignment horizontal="left" vertical="justify" wrapText="1"/>
    </xf>
    <xf numFmtId="1" fontId="96" fillId="0" borderId="58" xfId="0" applyNumberFormat="1" applyFont="1" applyBorder="1" applyAlignment="1">
      <alignment horizontal="left" vertical="center" wrapText="1"/>
    </xf>
    <xf numFmtId="1" fontId="96" fillId="0" borderId="58" xfId="0" applyNumberFormat="1" applyFont="1" applyFill="1" applyBorder="1" applyAlignment="1">
      <alignment horizontal="left" vertical="center" wrapText="1"/>
    </xf>
    <xf numFmtId="1" fontId="96" fillId="0" borderId="49" xfId="0" applyNumberFormat="1" applyFont="1" applyFill="1" applyBorder="1" applyAlignment="1">
      <alignment horizontal="left" vertical="center" wrapText="1"/>
    </xf>
    <xf numFmtId="1" fontId="96" fillId="0" borderId="47" xfId="0" applyNumberFormat="1" applyFont="1" applyBorder="1" applyAlignment="1">
      <alignment horizontal="left" vertical="center" wrapText="1"/>
    </xf>
    <xf numFmtId="1" fontId="96" fillId="0" borderId="48" xfId="0" applyNumberFormat="1" applyFont="1" applyBorder="1" applyAlignment="1">
      <alignment horizontal="left" vertical="center" wrapText="1"/>
    </xf>
    <xf numFmtId="0" fontId="96" fillId="0" borderId="58" xfId="0" applyFont="1" applyFill="1" applyBorder="1" applyAlignment="1">
      <alignment horizontal="left" vertical="center" wrapText="1"/>
    </xf>
    <xf numFmtId="0" fontId="110" fillId="0" borderId="63" xfId="0" applyFont="1" applyBorder="1" applyAlignment="1">
      <alignment horizontal="left"/>
    </xf>
    <xf numFmtId="0" fontId="97" fillId="0" borderId="19" xfId="0" applyFont="1" applyBorder="1" applyAlignment="1">
      <alignment horizontal="left"/>
    </xf>
    <xf numFmtId="0" fontId="97" fillId="0" borderId="17" xfId="0" applyFont="1" applyBorder="1" applyAlignment="1">
      <alignment/>
    </xf>
    <xf numFmtId="0" fontId="97" fillId="0" borderId="14" xfId="0" applyFont="1" applyBorder="1" applyAlignment="1">
      <alignment horizontal="left"/>
    </xf>
    <xf numFmtId="0" fontId="97" fillId="0" borderId="19" xfId="0" applyFont="1" applyBorder="1" applyAlignment="1">
      <alignment/>
    </xf>
    <xf numFmtId="0" fontId="125" fillId="0" borderId="24" xfId="0" applyFont="1" applyBorder="1" applyAlignment="1">
      <alignment horizontal="left"/>
    </xf>
    <xf numFmtId="0" fontId="97" fillId="0" borderId="25" xfId="0" applyFont="1" applyBorder="1" applyAlignment="1">
      <alignment horizontal="left"/>
    </xf>
    <xf numFmtId="0" fontId="97" fillId="0" borderId="13" xfId="0" applyFont="1" applyBorder="1" applyAlignment="1">
      <alignment/>
    </xf>
    <xf numFmtId="0" fontId="97" fillId="0" borderId="11" xfId="0" applyFont="1" applyBorder="1" applyAlignment="1">
      <alignment horizontal="left"/>
    </xf>
    <xf numFmtId="0" fontId="97" fillId="0" borderId="25" xfId="0" applyFont="1" applyBorder="1" applyAlignment="1">
      <alignment/>
    </xf>
    <xf numFmtId="3" fontId="93" fillId="0" borderId="25" xfId="0" applyNumberFormat="1" applyFont="1" applyBorder="1" applyAlignment="1">
      <alignment horizontal="left"/>
    </xf>
    <xf numFmtId="0" fontId="97" fillId="0" borderId="77" xfId="0" applyFont="1" applyBorder="1" applyAlignment="1">
      <alignment horizontal="left"/>
    </xf>
    <xf numFmtId="0" fontId="97" fillId="0" borderId="29" xfId="0" applyFont="1" applyBorder="1" applyAlignment="1">
      <alignment/>
    </xf>
    <xf numFmtId="0" fontId="97" fillId="0" borderId="30" xfId="0" applyFont="1" applyBorder="1" applyAlignment="1">
      <alignment horizontal="left"/>
    </xf>
    <xf numFmtId="0" fontId="97" fillId="0" borderId="76" xfId="0" applyFont="1" applyBorder="1" applyAlignment="1">
      <alignment horizontal="left"/>
    </xf>
    <xf numFmtId="3" fontId="93" fillId="0" borderId="77" xfId="0" applyNumberFormat="1" applyFont="1" applyBorder="1" applyAlignment="1">
      <alignment horizontal="left"/>
    </xf>
    <xf numFmtId="3" fontId="93" fillId="0" borderId="26" xfId="0" applyNumberFormat="1" applyFont="1" applyBorder="1" applyAlignment="1">
      <alignment horizontal="left"/>
    </xf>
    <xf numFmtId="0" fontId="97" fillId="0" borderId="55" xfId="0" applyFont="1" applyBorder="1" applyAlignment="1">
      <alignment/>
    </xf>
    <xf numFmtId="0" fontId="97" fillId="0" borderId="74" xfId="0" applyFont="1" applyBorder="1" applyAlignment="1">
      <alignment horizontal="left"/>
    </xf>
    <xf numFmtId="0" fontId="111" fillId="0" borderId="63" xfId="0" applyFont="1" applyBorder="1" applyAlignment="1">
      <alignment horizontal="left"/>
    </xf>
    <xf numFmtId="0" fontId="111" fillId="0" borderId="60" xfId="0" applyFont="1" applyBorder="1" applyAlignment="1">
      <alignment/>
    </xf>
    <xf numFmtId="0" fontId="111" fillId="0" borderId="72" xfId="0" applyFont="1" applyBorder="1" applyAlignment="1">
      <alignment horizontal="left"/>
    </xf>
    <xf numFmtId="0" fontId="111" fillId="0" borderId="73" xfId="0" applyFont="1" applyBorder="1" applyAlignment="1">
      <alignment horizontal="left"/>
    </xf>
    <xf numFmtId="0" fontId="97" fillId="0" borderId="0" xfId="0" applyFont="1" applyBorder="1" applyAlignment="1">
      <alignment/>
    </xf>
    <xf numFmtId="1" fontId="94" fillId="0" borderId="59" xfId="0" applyNumberFormat="1" applyFont="1" applyFill="1" applyBorder="1" applyAlignment="1">
      <alignment horizontal="center" vertical="center" wrapText="1"/>
    </xf>
    <xf numFmtId="0" fontId="91" fillId="0" borderId="51" xfId="0" applyFont="1" applyBorder="1" applyAlignment="1">
      <alignment horizontal="left"/>
    </xf>
    <xf numFmtId="1" fontId="96" fillId="0" borderId="61" xfId="0" applyNumberFormat="1" applyFont="1" applyFill="1" applyBorder="1" applyAlignment="1">
      <alignment horizontal="center" vertical="center" wrapText="1"/>
    </xf>
    <xf numFmtId="1" fontId="110" fillId="0" borderId="63" xfId="0" applyNumberFormat="1" applyFont="1" applyBorder="1" applyAlignment="1">
      <alignment horizontal="center" vertical="justify" wrapText="1"/>
    </xf>
    <xf numFmtId="1" fontId="96" fillId="0" borderId="59" xfId="0" applyNumberFormat="1" applyFont="1" applyFill="1" applyBorder="1" applyAlignment="1">
      <alignment horizontal="center" vertical="center" wrapText="1"/>
    </xf>
    <xf numFmtId="0" fontId="94" fillId="0" borderId="44" xfId="0" applyFont="1" applyBorder="1" applyAlignment="1">
      <alignment horizontal="center" vertical="center"/>
    </xf>
    <xf numFmtId="0" fontId="110" fillId="0" borderId="50" xfId="0" applyFont="1" applyBorder="1" applyAlignment="1">
      <alignment horizontal="left"/>
    </xf>
    <xf numFmtId="2" fontId="117" fillId="0" borderId="86" xfId="0" applyNumberFormat="1" applyFont="1" applyBorder="1" applyAlignment="1">
      <alignment vertical="center"/>
    </xf>
    <xf numFmtId="0" fontId="94" fillId="0" borderId="44" xfId="0" applyFont="1" applyBorder="1" applyAlignment="1">
      <alignment vertical="center"/>
    </xf>
    <xf numFmtId="2" fontId="92" fillId="0" borderId="51" xfId="0" applyNumberFormat="1" applyFont="1" applyBorder="1" applyAlignment="1">
      <alignment vertical="center"/>
    </xf>
    <xf numFmtId="0" fontId="94" fillId="0" borderId="85" xfId="0" applyFont="1" applyBorder="1" applyAlignment="1">
      <alignment vertical="center"/>
    </xf>
    <xf numFmtId="2" fontId="92" fillId="0" borderId="27" xfId="0" applyNumberFormat="1" applyFont="1" applyBorder="1" applyAlignment="1">
      <alignment vertical="center"/>
    </xf>
    <xf numFmtId="2" fontId="94" fillId="0" borderId="27" xfId="0" applyNumberFormat="1" applyFont="1" applyBorder="1" applyAlignment="1">
      <alignment vertical="center"/>
    </xf>
    <xf numFmtId="2" fontId="117" fillId="0" borderId="27" xfId="0" applyNumberFormat="1" applyFont="1" applyBorder="1" applyAlignment="1">
      <alignment vertical="center"/>
    </xf>
    <xf numFmtId="2" fontId="92" fillId="0" borderId="87" xfId="0" applyNumberFormat="1" applyFont="1" applyBorder="1" applyAlignment="1">
      <alignment vertical="center"/>
    </xf>
    <xf numFmtId="0" fontId="92" fillId="0" borderId="19" xfId="0" applyFont="1" applyBorder="1" applyAlignment="1">
      <alignment horizontal="center"/>
    </xf>
    <xf numFmtId="3" fontId="126" fillId="0" borderId="25" xfId="0" applyNumberFormat="1" applyFont="1" applyBorder="1" applyAlignment="1">
      <alignment horizontal="right"/>
    </xf>
    <xf numFmtId="0" fontId="92" fillId="0" borderId="25" xfId="0" applyFont="1" applyBorder="1" applyAlignment="1">
      <alignment/>
    </xf>
    <xf numFmtId="3" fontId="117" fillId="0" borderId="25" xfId="0" applyNumberFormat="1" applyFont="1" applyBorder="1" applyAlignment="1">
      <alignment horizontal="right"/>
    </xf>
    <xf numFmtId="164" fontId="126" fillId="0" borderId="25" xfId="0" applyNumberFormat="1" applyFont="1" applyBorder="1" applyAlignment="1">
      <alignment horizontal="right"/>
    </xf>
    <xf numFmtId="3" fontId="105" fillId="0" borderId="25" xfId="0" applyNumberFormat="1" applyFont="1" applyBorder="1" applyAlignment="1">
      <alignment horizontal="right"/>
    </xf>
    <xf numFmtId="3" fontId="126" fillId="0" borderId="77" xfId="0" applyNumberFormat="1" applyFont="1" applyBorder="1" applyAlignment="1">
      <alignment horizontal="right"/>
    </xf>
    <xf numFmtId="3" fontId="117" fillId="0" borderId="63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74" xfId="0" applyFont="1" applyBorder="1" applyAlignment="1">
      <alignment horizontal="justify" vertical="justify" wrapText="1"/>
    </xf>
    <xf numFmtId="0" fontId="5" fillId="0" borderId="83" xfId="0" applyFont="1" applyBorder="1" applyAlignment="1">
      <alignment/>
    </xf>
    <xf numFmtId="0" fontId="5" fillId="0" borderId="8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4" xfId="0" applyFont="1" applyBorder="1" applyAlignment="1">
      <alignment horizontal="justify" vertical="justify" wrapText="1"/>
    </xf>
    <xf numFmtId="0" fontId="4" fillId="0" borderId="24" xfId="0" applyFont="1" applyBorder="1" applyAlignment="1">
      <alignment horizontal="justify" vertical="justify" wrapText="1"/>
    </xf>
    <xf numFmtId="0" fontId="4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2" fontId="88" fillId="0" borderId="21" xfId="0" applyNumberFormat="1" applyFont="1" applyBorder="1" applyAlignment="1">
      <alignment horizontal="left" vertical="center"/>
    </xf>
    <xf numFmtId="2" fontId="88" fillId="0" borderId="70" xfId="0" applyNumberFormat="1" applyFont="1" applyBorder="1" applyAlignment="1">
      <alignment horizontal="left" vertical="center"/>
    </xf>
    <xf numFmtId="2" fontId="113" fillId="0" borderId="36" xfId="0" applyNumberFormat="1" applyFont="1" applyFill="1" applyBorder="1" applyAlignment="1">
      <alignment horizontal="left" vertical="center"/>
    </xf>
    <xf numFmtId="2" fontId="88" fillId="0" borderId="10" xfId="0" applyNumberFormat="1" applyFont="1" applyFill="1" applyBorder="1" applyAlignment="1">
      <alignment horizontal="left" vertical="top" shrinkToFit="1"/>
    </xf>
    <xf numFmtId="2" fontId="88" fillId="0" borderId="22" xfId="0" applyNumberFormat="1" applyFont="1" applyFill="1" applyBorder="1" applyAlignment="1">
      <alignment horizontal="left" vertical="top" shrinkToFit="1"/>
    </xf>
    <xf numFmtId="2" fontId="88" fillId="0" borderId="21" xfId="0" applyNumberFormat="1" applyFont="1" applyFill="1" applyBorder="1" applyAlignment="1">
      <alignment horizontal="left" vertical="top" shrinkToFit="1"/>
    </xf>
    <xf numFmtId="2" fontId="88" fillId="0" borderId="84" xfId="0" applyNumberFormat="1" applyFont="1" applyFill="1" applyBorder="1" applyAlignment="1">
      <alignment horizontal="left" vertical="top" shrinkToFit="1"/>
    </xf>
    <xf numFmtId="1" fontId="96" fillId="0" borderId="52" xfId="0" applyNumberFormat="1" applyFont="1" applyBorder="1" applyAlignment="1">
      <alignment horizontal="left" vertical="center" wrapText="1"/>
    </xf>
    <xf numFmtId="0" fontId="111" fillId="0" borderId="61" xfId="0" applyFont="1" applyBorder="1" applyAlignment="1">
      <alignment horizontal="left"/>
    </xf>
    <xf numFmtId="0" fontId="111" fillId="0" borderId="59" xfId="0" applyFont="1" applyBorder="1" applyAlignment="1">
      <alignment horizontal="left"/>
    </xf>
    <xf numFmtId="0" fontId="97" fillId="0" borderId="63" xfId="0" applyFont="1" applyBorder="1" applyAlignment="1">
      <alignment horizontal="left"/>
    </xf>
    <xf numFmtId="0" fontId="110" fillId="0" borderId="61" xfId="0" applyFont="1" applyBorder="1" applyAlignment="1">
      <alignment horizontal="left"/>
    </xf>
    <xf numFmtId="0" fontId="97" fillId="0" borderId="85" xfId="0" applyFont="1" applyBorder="1" applyAlignment="1">
      <alignment horizontal="left"/>
    </xf>
    <xf numFmtId="0" fontId="97" fillId="0" borderId="27" xfId="0" applyFont="1" applyBorder="1" applyAlignment="1">
      <alignment horizontal="left"/>
    </xf>
    <xf numFmtId="0" fontId="97" fillId="0" borderId="87" xfId="0" applyFont="1" applyBorder="1" applyAlignment="1">
      <alignment horizontal="left"/>
    </xf>
    <xf numFmtId="0" fontId="96" fillId="0" borderId="50" xfId="0" applyFont="1" applyBorder="1" applyAlignment="1">
      <alignment horizontal="left" vertical="center" wrapText="1"/>
    </xf>
    <xf numFmtId="0" fontId="97" fillId="0" borderId="37" xfId="0" applyFont="1" applyBorder="1" applyAlignment="1">
      <alignment horizontal="left"/>
    </xf>
    <xf numFmtId="0" fontId="97" fillId="0" borderId="36" xfId="0" applyFont="1" applyBorder="1" applyAlignment="1">
      <alignment horizontal="left"/>
    </xf>
    <xf numFmtId="0" fontId="107" fillId="0" borderId="59" xfId="0" applyFont="1" applyBorder="1" applyAlignment="1">
      <alignment horizontal="left"/>
    </xf>
    <xf numFmtId="1" fontId="96" fillId="0" borderId="77" xfId="0" applyNumberFormat="1" applyFont="1" applyBorder="1" applyAlignment="1">
      <alignment horizontal="left"/>
    </xf>
    <xf numFmtId="1" fontId="96" fillId="0" borderId="33" xfId="0" applyNumberFormat="1" applyFont="1" applyBorder="1" applyAlignment="1">
      <alignment horizontal="left"/>
    </xf>
    <xf numFmtId="1" fontId="96" fillId="0" borderId="26" xfId="0" applyNumberFormat="1" applyFont="1" applyBorder="1" applyAlignment="1">
      <alignment horizontal="left"/>
    </xf>
    <xf numFmtId="2" fontId="110" fillId="0" borderId="73" xfId="0" applyNumberFormat="1" applyFont="1" applyBorder="1" applyAlignment="1">
      <alignment horizontal="left" vertical="center"/>
    </xf>
    <xf numFmtId="1" fontId="97" fillId="0" borderId="76" xfId="0" applyNumberFormat="1" applyFont="1" applyBorder="1" applyAlignment="1">
      <alignment horizontal="left"/>
    </xf>
    <xf numFmtId="2" fontId="97" fillId="0" borderId="76" xfId="0" applyNumberFormat="1" applyFont="1" applyBorder="1" applyAlignment="1">
      <alignment horizontal="left"/>
    </xf>
    <xf numFmtId="2" fontId="110" fillId="0" borderId="79" xfId="0" applyNumberFormat="1" applyFont="1" applyBorder="1" applyAlignment="1">
      <alignment horizontal="left" vertical="center"/>
    </xf>
    <xf numFmtId="2" fontId="97" fillId="0" borderId="45" xfId="0" applyNumberFormat="1" applyFont="1" applyBorder="1" applyAlignment="1">
      <alignment horizontal="left"/>
    </xf>
    <xf numFmtId="2" fontId="97" fillId="0" borderId="76" xfId="44" applyNumberFormat="1" applyFont="1" applyBorder="1" applyAlignment="1">
      <alignment horizontal="left"/>
    </xf>
    <xf numFmtId="1" fontId="97" fillId="0" borderId="77" xfId="0" applyNumberFormat="1" applyFont="1" applyBorder="1" applyAlignment="1">
      <alignment horizontal="left"/>
    </xf>
    <xf numFmtId="0" fontId="97" fillId="0" borderId="75" xfId="0" applyFont="1" applyBorder="1" applyAlignment="1">
      <alignment horizontal="left"/>
    </xf>
    <xf numFmtId="2" fontId="97" fillId="0" borderId="76" xfId="0" applyNumberFormat="1" applyFont="1" applyBorder="1" applyAlignment="1">
      <alignment horizontal="left" vertical="center"/>
    </xf>
    <xf numFmtId="0" fontId="97" fillId="0" borderId="34" xfId="0" applyFont="1" applyBorder="1" applyAlignment="1">
      <alignment horizontal="left"/>
    </xf>
    <xf numFmtId="0" fontId="96" fillId="0" borderId="86" xfId="0" applyFont="1" applyBorder="1" applyAlignment="1">
      <alignment horizontal="left"/>
    </xf>
    <xf numFmtId="0" fontId="96" fillId="0" borderId="23" xfId="0" applyFont="1" applyBorder="1" applyAlignment="1">
      <alignment horizontal="left"/>
    </xf>
    <xf numFmtId="1" fontId="99" fillId="0" borderId="62" xfId="42" applyNumberFormat="1" applyFont="1" applyBorder="1" applyAlignment="1">
      <alignment horizontal="left"/>
    </xf>
    <xf numFmtId="1" fontId="99" fillId="0" borderId="63" xfId="42" applyNumberFormat="1" applyFont="1" applyBorder="1" applyAlignment="1">
      <alignment horizontal="left"/>
    </xf>
    <xf numFmtId="1" fontId="96" fillId="0" borderId="68" xfId="0" applyNumberFormat="1" applyFont="1" applyFill="1" applyBorder="1" applyAlignment="1">
      <alignment horizontal="center" vertical="center" wrapText="1"/>
    </xf>
    <xf numFmtId="1" fontId="96" fillId="0" borderId="63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left"/>
    </xf>
    <xf numFmtId="0" fontId="94" fillId="0" borderId="78" xfId="0" applyFont="1" applyBorder="1" applyAlignment="1">
      <alignment horizontal="center" vertical="center"/>
    </xf>
    <xf numFmtId="0" fontId="94" fillId="0" borderId="31" xfId="0" applyFont="1" applyBorder="1" applyAlignment="1">
      <alignment horizontal="center" vertical="center"/>
    </xf>
    <xf numFmtId="1" fontId="96" fillId="0" borderId="68" xfId="0" applyNumberFormat="1" applyFont="1" applyFill="1" applyBorder="1" applyAlignment="1">
      <alignment horizontal="center" vertical="justify" wrapText="1"/>
    </xf>
    <xf numFmtId="1" fontId="96" fillId="0" borderId="63" xfId="0" applyNumberFormat="1" applyFont="1" applyFill="1" applyBorder="1" applyAlignment="1">
      <alignment horizontal="center" vertical="justify" wrapText="1"/>
    </xf>
    <xf numFmtId="1" fontId="88" fillId="0" borderId="68" xfId="0" applyNumberFormat="1" applyFont="1" applyBorder="1" applyAlignment="1">
      <alignment horizontal="left" vertical="center" wrapText="1"/>
    </xf>
    <xf numFmtId="1" fontId="88" fillId="0" borderId="61" xfId="0" applyNumberFormat="1" applyFont="1" applyBorder="1" applyAlignment="1">
      <alignment horizontal="left" vertical="center" wrapText="1"/>
    </xf>
    <xf numFmtId="1" fontId="88" fillId="0" borderId="78" xfId="0" applyNumberFormat="1" applyFont="1" applyBorder="1" applyAlignment="1">
      <alignment horizontal="left" vertical="center" wrapText="1"/>
    </xf>
    <xf numFmtId="1" fontId="88" fillId="0" borderId="52" xfId="0" applyNumberFormat="1" applyFont="1" applyBorder="1" applyAlignment="1">
      <alignment horizontal="left" vertical="center" wrapText="1"/>
    </xf>
    <xf numFmtId="1" fontId="88" fillId="0" borderId="68" xfId="0" applyNumberFormat="1" applyFont="1" applyFill="1" applyBorder="1" applyAlignment="1">
      <alignment horizontal="left" vertical="center" wrapText="1"/>
    </xf>
    <xf numFmtId="1" fontId="88" fillId="0" borderId="61" xfId="0" applyNumberFormat="1" applyFont="1" applyFill="1" applyBorder="1" applyAlignment="1">
      <alignment horizontal="left" vertical="center" wrapText="1"/>
    </xf>
    <xf numFmtId="1" fontId="88" fillId="0" borderId="0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88" fillId="0" borderId="44" xfId="0" applyNumberFormat="1" applyFont="1" applyBorder="1" applyAlignment="1">
      <alignment horizontal="left" vertical="center"/>
    </xf>
    <xf numFmtId="1" fontId="88" fillId="0" borderId="24" xfId="0" applyNumberFormat="1" applyFont="1" applyBorder="1" applyAlignment="1">
      <alignment horizontal="left" vertical="center"/>
    </xf>
    <xf numFmtId="1" fontId="88" fillId="0" borderId="78" xfId="0" applyNumberFormat="1" applyFont="1" applyBorder="1" applyAlignment="1">
      <alignment horizontal="left" vertical="center"/>
    </xf>
    <xf numFmtId="1" fontId="88" fillId="0" borderId="52" xfId="0" applyNumberFormat="1" applyFont="1" applyBorder="1" applyAlignment="1">
      <alignment horizontal="left" vertical="center"/>
    </xf>
    <xf numFmtId="1" fontId="88" fillId="0" borderId="78" xfId="0" applyNumberFormat="1" applyFont="1" applyFill="1" applyBorder="1" applyAlignment="1">
      <alignment horizontal="left" vertical="center" wrapText="1"/>
    </xf>
    <xf numFmtId="1" fontId="88" fillId="0" borderId="52" xfId="0" applyNumberFormat="1" applyFont="1" applyFill="1" applyBorder="1" applyAlignment="1">
      <alignment horizontal="left" vertical="center" wrapText="1"/>
    </xf>
    <xf numFmtId="1" fontId="88" fillId="0" borderId="68" xfId="0" applyNumberFormat="1" applyFont="1" applyFill="1" applyBorder="1" applyAlignment="1">
      <alignment horizontal="center" vertical="center" wrapText="1"/>
    </xf>
    <xf numFmtId="1" fontId="88" fillId="0" borderId="63" xfId="0" applyNumberFormat="1" applyFont="1" applyFill="1" applyBorder="1" applyAlignment="1">
      <alignment horizontal="center" vertical="center" wrapText="1"/>
    </xf>
    <xf numFmtId="1" fontId="88" fillId="0" borderId="68" xfId="0" applyNumberFormat="1" applyFont="1" applyBorder="1" applyAlignment="1">
      <alignment horizontal="center" vertical="center" wrapText="1"/>
    </xf>
    <xf numFmtId="1" fontId="88" fillId="0" borderId="61" xfId="0" applyNumberFormat="1" applyFont="1" applyBorder="1" applyAlignment="1">
      <alignment horizontal="center" vertical="center" wrapText="1"/>
    </xf>
    <xf numFmtId="1" fontId="88" fillId="0" borderId="62" xfId="0" applyNumberFormat="1" applyFont="1" applyFill="1" applyBorder="1" applyAlignment="1">
      <alignment horizontal="left" vertical="center" wrapText="1"/>
    </xf>
    <xf numFmtId="1" fontId="88" fillId="0" borderId="79" xfId="0" applyNumberFormat="1" applyFont="1" applyFill="1" applyBorder="1" applyAlignment="1">
      <alignment horizontal="left" vertical="center" wrapText="1"/>
    </xf>
    <xf numFmtId="1" fontId="88" fillId="0" borderId="63" xfId="0" applyNumberFormat="1" applyFont="1" applyBorder="1" applyAlignment="1">
      <alignment horizontal="center" vertical="center" wrapText="1"/>
    </xf>
    <xf numFmtId="0" fontId="96" fillId="0" borderId="68" xfId="0" applyFont="1" applyBorder="1" applyAlignment="1">
      <alignment horizontal="center" vertical="center" wrapText="1"/>
    </xf>
    <xf numFmtId="0" fontId="96" fillId="0" borderId="61" xfId="0" applyFont="1" applyBorder="1" applyAlignment="1">
      <alignment horizontal="center" vertical="center" wrapText="1"/>
    </xf>
    <xf numFmtId="0" fontId="96" fillId="0" borderId="63" xfId="0" applyFont="1" applyBorder="1" applyAlignment="1">
      <alignment horizontal="center" vertical="center" wrapText="1"/>
    </xf>
    <xf numFmtId="0" fontId="128" fillId="0" borderId="0" xfId="0" applyFont="1" applyBorder="1" applyAlignment="1">
      <alignment horizontal="left"/>
    </xf>
    <xf numFmtId="0" fontId="129" fillId="0" borderId="50" xfId="0" applyFont="1" applyBorder="1" applyAlignment="1">
      <alignment horizontal="center" vertical="center"/>
    </xf>
    <xf numFmtId="0" fontId="129" fillId="0" borderId="86" xfId="0" applyFont="1" applyBorder="1" applyAlignment="1">
      <alignment horizontal="center" vertical="center"/>
    </xf>
    <xf numFmtId="0" fontId="96" fillId="0" borderId="68" xfId="0" applyFont="1" applyBorder="1" applyAlignment="1">
      <alignment horizontal="justify" vertical="justify" wrapText="1"/>
    </xf>
    <xf numFmtId="0" fontId="96" fillId="0" borderId="63" xfId="0" applyFont="1" applyBorder="1" applyAlignment="1">
      <alignment horizontal="justify" vertical="justify" wrapText="1"/>
    </xf>
    <xf numFmtId="0" fontId="96" fillId="0" borderId="40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 wrapText="1"/>
    </xf>
    <xf numFmtId="0" fontId="96" fillId="0" borderId="65" xfId="0" applyFont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center" vertical="center" wrapText="1"/>
    </xf>
    <xf numFmtId="0" fontId="96" fillId="0" borderId="63" xfId="0" applyFont="1" applyFill="1" applyBorder="1" applyAlignment="1">
      <alignment horizontal="center" vertical="center" wrapText="1"/>
    </xf>
    <xf numFmtId="0" fontId="96" fillId="0" borderId="81" xfId="0" applyFont="1" applyBorder="1" applyAlignment="1">
      <alignment horizontal="center" vertical="center" wrapText="1"/>
    </xf>
    <xf numFmtId="0" fontId="96" fillId="0" borderId="64" xfId="0" applyFont="1" applyBorder="1" applyAlignment="1">
      <alignment horizontal="center" vertical="center" wrapText="1"/>
    </xf>
    <xf numFmtId="0" fontId="96" fillId="0" borderId="65" xfId="0" applyFont="1" applyFill="1" applyBorder="1" applyAlignment="1">
      <alignment horizontal="center" vertical="center" wrapText="1"/>
    </xf>
    <xf numFmtId="1" fontId="96" fillId="0" borderId="78" xfId="0" applyNumberFormat="1" applyFont="1" applyBorder="1" applyAlignment="1">
      <alignment horizontal="center" vertical="center" wrapText="1"/>
    </xf>
    <xf numFmtId="1" fontId="96" fillId="0" borderId="52" xfId="0" applyNumberFormat="1" applyFont="1" applyBorder="1" applyAlignment="1">
      <alignment horizontal="center" vertical="center" wrapText="1"/>
    </xf>
    <xf numFmtId="1" fontId="96" fillId="0" borderId="68" xfId="0" applyNumberFormat="1" applyFont="1" applyBorder="1" applyAlignment="1">
      <alignment horizontal="center" vertical="center" wrapText="1"/>
    </xf>
    <xf numFmtId="1" fontId="96" fillId="0" borderId="63" xfId="0" applyNumberFormat="1" applyFont="1" applyBorder="1" applyAlignment="1">
      <alignment horizontal="center" vertical="center" wrapText="1"/>
    </xf>
    <xf numFmtId="1" fontId="96" fillId="0" borderId="78" xfId="0" applyNumberFormat="1" applyFont="1" applyFill="1" applyBorder="1" applyAlignment="1">
      <alignment horizontal="center" vertical="center" wrapText="1"/>
    </xf>
    <xf numFmtId="1" fontId="96" fillId="0" borderId="52" xfId="0" applyNumberFormat="1" applyFont="1" applyFill="1" applyBorder="1" applyAlignment="1">
      <alignment horizontal="center" vertical="center" wrapText="1"/>
    </xf>
    <xf numFmtId="1" fontId="128" fillId="0" borderId="0" xfId="0" applyNumberFormat="1" applyFont="1" applyBorder="1" applyAlignment="1">
      <alignment horizontal="left"/>
    </xf>
    <xf numFmtId="1" fontId="96" fillId="0" borderId="78" xfId="0" applyNumberFormat="1" applyFont="1" applyBorder="1" applyAlignment="1">
      <alignment horizontal="center" vertical="center"/>
    </xf>
    <xf numFmtId="1" fontId="96" fillId="0" borderId="31" xfId="0" applyNumberFormat="1" applyFont="1" applyBorder="1" applyAlignment="1">
      <alignment horizontal="center" vertical="center"/>
    </xf>
    <xf numFmtId="1" fontId="96" fillId="0" borderId="78" xfId="0" applyNumberFormat="1" applyFont="1" applyBorder="1" applyAlignment="1">
      <alignment horizontal="justify" vertical="justify" wrapText="1"/>
    </xf>
    <xf numFmtId="1" fontId="96" fillId="0" borderId="52" xfId="0" applyNumberFormat="1" applyFont="1" applyBorder="1" applyAlignment="1">
      <alignment horizontal="justify" vertical="justify" wrapText="1"/>
    </xf>
    <xf numFmtId="1" fontId="96" fillId="0" borderId="58" xfId="0" applyNumberFormat="1" applyFont="1" applyBorder="1" applyAlignment="1">
      <alignment horizontal="center" vertical="center" wrapText="1"/>
    </xf>
    <xf numFmtId="1" fontId="96" fillId="0" borderId="58" xfId="0" applyNumberFormat="1" applyFont="1" applyFill="1" applyBorder="1" applyAlignment="1">
      <alignment horizontal="center" vertical="center" wrapText="1"/>
    </xf>
    <xf numFmtId="0" fontId="96" fillId="0" borderId="52" xfId="0" applyFont="1" applyBorder="1" applyAlignment="1">
      <alignment horizontal="center" vertical="center" wrapText="1"/>
    </xf>
    <xf numFmtId="0" fontId="96" fillId="0" borderId="58" xfId="0" applyFont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 wrapText="1"/>
    </xf>
    <xf numFmtId="0" fontId="96" fillId="0" borderId="78" xfId="0" applyFont="1" applyFill="1" applyBorder="1" applyAlignment="1">
      <alignment horizontal="center" vertical="center" wrapText="1"/>
    </xf>
    <xf numFmtId="0" fontId="96" fillId="0" borderId="58" xfId="0" applyFont="1" applyFill="1" applyBorder="1" applyAlignment="1">
      <alignment horizontal="center" vertical="center" wrapText="1"/>
    </xf>
    <xf numFmtId="0" fontId="96" fillId="0" borderId="46" xfId="0" applyFont="1" applyBorder="1" applyAlignment="1">
      <alignment horizontal="center" vertical="center" wrapText="1"/>
    </xf>
    <xf numFmtId="0" fontId="96" fillId="0" borderId="48" xfId="0" applyFont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94" fillId="0" borderId="44" xfId="0" applyFont="1" applyBorder="1" applyAlignment="1">
      <alignment horizontal="center" vertical="center"/>
    </xf>
    <xf numFmtId="0" fontId="94" fillId="0" borderId="51" xfId="0" applyFont="1" applyBorder="1" applyAlignment="1">
      <alignment horizontal="center" vertical="center"/>
    </xf>
    <xf numFmtId="0" fontId="96" fillId="0" borderId="78" xfId="0" applyFont="1" applyBorder="1" applyAlignment="1">
      <alignment horizontal="justify" vertical="justify" wrapText="1"/>
    </xf>
    <xf numFmtId="0" fontId="96" fillId="0" borderId="58" xfId="0" applyFont="1" applyBorder="1" applyAlignment="1">
      <alignment horizontal="justify" vertical="justify" wrapText="1"/>
    </xf>
    <xf numFmtId="1" fontId="96" fillId="0" borderId="46" xfId="0" applyNumberFormat="1" applyFont="1" applyFill="1" applyBorder="1" applyAlignment="1">
      <alignment horizontal="left" vertical="center" wrapText="1"/>
    </xf>
    <xf numFmtId="1" fontId="96" fillId="0" borderId="48" xfId="0" applyNumberFormat="1" applyFont="1" applyFill="1" applyBorder="1" applyAlignment="1">
      <alignment horizontal="left" vertical="center" wrapText="1"/>
    </xf>
    <xf numFmtId="1" fontId="96" fillId="0" borderId="78" xfId="0" applyNumberFormat="1" applyFont="1" applyBorder="1" applyAlignment="1">
      <alignment horizontal="left" vertical="center" wrapText="1"/>
    </xf>
    <xf numFmtId="1" fontId="96" fillId="0" borderId="52" xfId="0" applyNumberFormat="1" applyFont="1" applyBorder="1" applyAlignment="1">
      <alignment horizontal="left" vertical="center" wrapText="1"/>
    </xf>
    <xf numFmtId="1" fontId="96" fillId="0" borderId="78" xfId="0" applyNumberFormat="1" applyFont="1" applyFill="1" applyBorder="1" applyAlignment="1">
      <alignment horizontal="left" vertical="center" wrapText="1"/>
    </xf>
    <xf numFmtId="1" fontId="96" fillId="0" borderId="52" xfId="0" applyNumberFormat="1" applyFont="1" applyFill="1" applyBorder="1" applyAlignment="1">
      <alignment horizontal="left" vertical="center" wrapText="1"/>
    </xf>
    <xf numFmtId="0" fontId="96" fillId="0" borderId="52" xfId="0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/>
    </xf>
    <xf numFmtId="0" fontId="105" fillId="0" borderId="0" xfId="0" applyFont="1" applyAlignment="1">
      <alignment horizontal="left"/>
    </xf>
    <xf numFmtId="0" fontId="107" fillId="0" borderId="50" xfId="0" applyFont="1" applyBorder="1" applyAlignment="1">
      <alignment horizontal="center"/>
    </xf>
    <xf numFmtId="0" fontId="107" fillId="0" borderId="23" xfId="0" applyFont="1" applyBorder="1" applyAlignment="1">
      <alignment horizontal="center"/>
    </xf>
    <xf numFmtId="0" fontId="110" fillId="0" borderId="44" xfId="0" applyFont="1" applyBorder="1" applyAlignment="1">
      <alignment horizontal="center"/>
    </xf>
    <xf numFmtId="0" fontId="110" fillId="0" borderId="51" xfId="0" applyFont="1" applyBorder="1" applyAlignment="1">
      <alignment horizontal="center"/>
    </xf>
    <xf numFmtId="0" fontId="130" fillId="0" borderId="0" xfId="0" applyFont="1" applyBorder="1" applyAlignment="1">
      <alignment horizontal="left"/>
    </xf>
    <xf numFmtId="0" fontId="121" fillId="0" borderId="68" xfId="0" applyFont="1" applyBorder="1" applyAlignment="1">
      <alignment horizontal="center" vertical="center"/>
    </xf>
    <xf numFmtId="0" fontId="121" fillId="0" borderId="61" xfId="0" applyFont="1" applyBorder="1" applyAlignment="1">
      <alignment horizontal="center" vertical="center"/>
    </xf>
    <xf numFmtId="0" fontId="121" fillId="0" borderId="63" xfId="0" applyFont="1" applyBorder="1" applyAlignment="1">
      <alignment horizontal="center" vertical="center"/>
    </xf>
    <xf numFmtId="0" fontId="121" fillId="0" borderId="68" xfId="0" applyFont="1" applyBorder="1" applyAlignment="1">
      <alignment horizontal="center" vertical="center" wrapText="1"/>
    </xf>
    <xf numFmtId="0" fontId="121" fillId="0" borderId="61" xfId="0" applyFont="1" applyBorder="1" applyAlignment="1">
      <alignment horizontal="center" vertical="center" wrapText="1"/>
    </xf>
    <xf numFmtId="0" fontId="121" fillId="0" borderId="63" xfId="0" applyFont="1" applyBorder="1" applyAlignment="1">
      <alignment horizontal="center" vertical="center" wrapText="1"/>
    </xf>
    <xf numFmtId="0" fontId="121" fillId="0" borderId="52" xfId="0" applyFont="1" applyBorder="1" applyAlignment="1">
      <alignment horizontal="left" vertical="center" wrapText="1"/>
    </xf>
    <xf numFmtId="0" fontId="121" fillId="0" borderId="58" xfId="0" applyFont="1" applyBorder="1" applyAlignment="1">
      <alignment horizontal="left" vertical="center" wrapText="1"/>
    </xf>
    <xf numFmtId="0" fontId="121" fillId="0" borderId="81" xfId="0" applyFont="1" applyBorder="1" applyAlignment="1">
      <alignment horizontal="left" vertical="center" wrapText="1"/>
    </xf>
    <xf numFmtId="0" fontId="121" fillId="0" borderId="65" xfId="0" applyFont="1" applyBorder="1" applyAlignment="1">
      <alignment horizontal="left" vertical="center" wrapText="1"/>
    </xf>
    <xf numFmtId="0" fontId="121" fillId="0" borderId="64" xfId="0" applyFont="1" applyBorder="1" applyAlignment="1">
      <alignment horizontal="left" vertical="center" wrapText="1"/>
    </xf>
    <xf numFmtId="0" fontId="121" fillId="0" borderId="40" xfId="0" applyFont="1" applyBorder="1" applyAlignment="1">
      <alignment horizontal="left" vertical="center" wrapText="1"/>
    </xf>
    <xf numFmtId="0" fontId="121" fillId="0" borderId="41" xfId="0" applyFont="1" applyBorder="1" applyAlignment="1">
      <alignment horizontal="left" vertical="center" wrapText="1"/>
    </xf>
    <xf numFmtId="0" fontId="121" fillId="0" borderId="42" xfId="0" applyFont="1" applyBorder="1" applyAlignment="1">
      <alignment horizontal="left" vertical="center" wrapText="1"/>
    </xf>
    <xf numFmtId="0" fontId="121" fillId="0" borderId="66" xfId="0" applyFont="1" applyBorder="1" applyAlignment="1">
      <alignment horizontal="left" vertical="center" wrapText="1"/>
    </xf>
    <xf numFmtId="0" fontId="121" fillId="0" borderId="62" xfId="0" applyFont="1" applyBorder="1" applyAlignment="1">
      <alignment horizontal="left" vertical="center" wrapText="1"/>
    </xf>
    <xf numFmtId="0" fontId="121" fillId="0" borderId="72" xfId="0" applyFont="1" applyBorder="1" applyAlignment="1">
      <alignment horizontal="left" vertical="center" wrapText="1"/>
    </xf>
    <xf numFmtId="0" fontId="121" fillId="0" borderId="73" xfId="0" applyFont="1" applyBorder="1" applyAlignment="1">
      <alignment horizontal="left" vertical="center" wrapText="1"/>
    </xf>
    <xf numFmtId="0" fontId="121" fillId="0" borderId="68" xfId="0" applyFont="1" applyFill="1" applyBorder="1" applyAlignment="1">
      <alignment horizontal="center" vertical="center" wrapText="1"/>
    </xf>
    <xf numFmtId="0" fontId="121" fillId="0" borderId="61" xfId="0" applyFont="1" applyFill="1" applyBorder="1" applyAlignment="1">
      <alignment horizontal="center" vertical="center" wrapText="1"/>
    </xf>
    <xf numFmtId="0" fontId="121" fillId="0" borderId="63" xfId="0" applyFont="1" applyFill="1" applyBorder="1" applyAlignment="1">
      <alignment horizontal="center" vertical="center" wrapText="1"/>
    </xf>
    <xf numFmtId="0" fontId="121" fillId="0" borderId="81" xfId="0" applyFont="1" applyBorder="1" applyAlignment="1">
      <alignment horizontal="center" vertical="center" wrapText="1"/>
    </xf>
    <xf numFmtId="0" fontId="121" fillId="0" borderId="65" xfId="0" applyFont="1" applyBorder="1" applyAlignment="1">
      <alignment horizontal="center" vertical="center" wrapText="1"/>
    </xf>
    <xf numFmtId="0" fontId="121" fillId="0" borderId="64" xfId="0" applyFont="1" applyBorder="1" applyAlignment="1">
      <alignment horizontal="center" vertical="center" wrapText="1"/>
    </xf>
    <xf numFmtId="0" fontId="121" fillId="0" borderId="81" xfId="0" applyFont="1" applyFill="1" applyBorder="1" applyAlignment="1">
      <alignment horizontal="center" vertical="center" wrapText="1"/>
    </xf>
    <xf numFmtId="0" fontId="121" fillId="0" borderId="65" xfId="0" applyFont="1" applyFill="1" applyBorder="1" applyAlignment="1">
      <alignment horizontal="center" vertical="center" wrapText="1"/>
    </xf>
    <xf numFmtId="0" fontId="121" fillId="0" borderId="64" xfId="0" applyFont="1" applyFill="1" applyBorder="1" applyAlignment="1">
      <alignment horizontal="center" vertical="center" wrapText="1"/>
    </xf>
    <xf numFmtId="0" fontId="131" fillId="0" borderId="68" xfId="0" applyFont="1" applyBorder="1" applyAlignment="1">
      <alignment horizontal="center"/>
    </xf>
    <xf numFmtId="0" fontId="131" fillId="0" borderId="61" xfId="0" applyFont="1" applyBorder="1" applyAlignment="1">
      <alignment horizontal="center"/>
    </xf>
    <xf numFmtId="0" fontId="131" fillId="0" borderId="63" xfId="0" applyFont="1" applyBorder="1" applyAlignment="1">
      <alignment horizontal="center"/>
    </xf>
    <xf numFmtId="0" fontId="131" fillId="0" borderId="78" xfId="0" applyFont="1" applyBorder="1" applyAlignment="1">
      <alignment horizontal="center"/>
    </xf>
    <xf numFmtId="0" fontId="131" fillId="0" borderId="52" xfId="0" applyFont="1" applyBorder="1" applyAlignment="1">
      <alignment horizontal="center"/>
    </xf>
    <xf numFmtId="0" fontId="131" fillId="0" borderId="58" xfId="0" applyFont="1" applyBorder="1" applyAlignment="1">
      <alignment horizontal="center"/>
    </xf>
    <xf numFmtId="0" fontId="4" fillId="0" borderId="66" xfId="0" applyFont="1" applyBorder="1" applyAlignment="1">
      <alignment horizontal="justify" vertical="justify" wrapText="1"/>
    </xf>
    <xf numFmtId="0" fontId="4" fillId="0" borderId="41" xfId="0" applyFont="1" applyBorder="1" applyAlignment="1">
      <alignment horizontal="justify" vertical="justify" wrapText="1"/>
    </xf>
    <xf numFmtId="0" fontId="4" fillId="0" borderId="42" xfId="0" applyFont="1" applyBorder="1" applyAlignment="1">
      <alignment horizontal="justify" vertical="justify" wrapText="1"/>
    </xf>
    <xf numFmtId="0" fontId="4" fillId="0" borderId="68" xfId="0" applyFont="1" applyBorder="1" applyAlignment="1">
      <alignment horizontal="justify" vertical="justify" wrapText="1"/>
    </xf>
    <xf numFmtId="0" fontId="4" fillId="0" borderId="61" xfId="0" applyFont="1" applyBorder="1" applyAlignment="1">
      <alignment horizontal="justify" vertical="justify" wrapText="1"/>
    </xf>
    <xf numFmtId="0" fontId="4" fillId="0" borderId="63" xfId="0" applyFont="1" applyBorder="1" applyAlignment="1">
      <alignment horizontal="justify" vertical="justify" wrapText="1"/>
    </xf>
    <xf numFmtId="0" fontId="2" fillId="0" borderId="8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/>
    </xf>
    <xf numFmtId="0" fontId="88" fillId="0" borderId="50" xfId="0" applyFont="1" applyBorder="1" applyAlignment="1">
      <alignment horizontal="left" vertical="center"/>
    </xf>
    <xf numFmtId="0" fontId="88" fillId="0" borderId="86" xfId="0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88" fillId="0" borderId="40" xfId="0" applyFont="1" applyBorder="1" applyAlignment="1">
      <alignment horizontal="left" vertical="center" wrapText="1"/>
    </xf>
    <xf numFmtId="0" fontId="88" fillId="0" borderId="41" xfId="0" applyFont="1" applyBorder="1" applyAlignment="1">
      <alignment horizontal="left" vertical="center" wrapText="1"/>
    </xf>
    <xf numFmtId="0" fontId="88" fillId="0" borderId="83" xfId="0" applyFont="1" applyBorder="1" applyAlignment="1">
      <alignment horizontal="left" vertical="center" wrapText="1"/>
    </xf>
    <xf numFmtId="0" fontId="88" fillId="0" borderId="40" xfId="0" applyFont="1" applyFill="1" applyBorder="1" applyAlignment="1">
      <alignment horizontal="left" vertical="center" wrapText="1"/>
    </xf>
    <xf numFmtId="0" fontId="88" fillId="0" borderId="42" xfId="0" applyFont="1" applyFill="1" applyBorder="1" applyAlignment="1">
      <alignment horizontal="left" vertical="center" wrapText="1"/>
    </xf>
    <xf numFmtId="0" fontId="88" fillId="0" borderId="42" xfId="0" applyFont="1" applyBorder="1" applyAlignment="1">
      <alignment horizontal="left" vertical="center" wrapText="1"/>
    </xf>
    <xf numFmtId="1" fontId="88" fillId="0" borderId="66" xfId="0" applyNumberFormat="1" applyFont="1" applyBorder="1" applyAlignment="1">
      <alignment horizontal="left" vertical="center" wrapText="1"/>
    </xf>
    <xf numFmtId="1" fontId="88" fillId="0" borderId="41" xfId="0" applyNumberFormat="1" applyFont="1" applyBorder="1" applyAlignment="1">
      <alignment horizontal="left" vertical="center" wrapText="1"/>
    </xf>
    <xf numFmtId="0" fontId="88" fillId="0" borderId="81" xfId="0" applyFont="1" applyBorder="1" applyAlignment="1">
      <alignment horizontal="justify" vertical="justify" wrapText="1"/>
    </xf>
    <xf numFmtId="0" fontId="88" fillId="0" borderId="64" xfId="0" applyFont="1" applyBorder="1" applyAlignment="1">
      <alignment horizontal="justify" vertical="justify" wrapText="1"/>
    </xf>
    <xf numFmtId="0" fontId="88" fillId="0" borderId="65" xfId="0" applyFont="1" applyBorder="1" applyAlignment="1">
      <alignment horizontal="left" vertical="center" wrapText="1"/>
    </xf>
    <xf numFmtId="0" fontId="88" fillId="0" borderId="81" xfId="0" applyFont="1" applyBorder="1" applyAlignment="1">
      <alignment horizontal="left" vertical="center" wrapText="1"/>
    </xf>
    <xf numFmtId="1" fontId="88" fillId="0" borderId="40" xfId="0" applyNumberFormat="1" applyFont="1" applyBorder="1" applyAlignment="1">
      <alignment horizontal="left" vertical="center" wrapText="1"/>
    </xf>
    <xf numFmtId="0" fontId="88" fillId="0" borderId="66" xfId="0" applyFont="1" applyBorder="1" applyAlignment="1">
      <alignment horizontal="left" vertical="center" wrapText="1"/>
    </xf>
    <xf numFmtId="0" fontId="88" fillId="0" borderId="66" xfId="0" applyFont="1" applyFill="1" applyBorder="1" applyAlignment="1">
      <alignment horizontal="left" vertical="center" wrapText="1"/>
    </xf>
    <xf numFmtId="0" fontId="88" fillId="0" borderId="41" xfId="0" applyFont="1" applyFill="1" applyBorder="1" applyAlignment="1">
      <alignment horizontal="left" vertical="center" wrapText="1"/>
    </xf>
    <xf numFmtId="0" fontId="88" fillId="0" borderId="83" xfId="0" applyFont="1" applyFill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justify" vertical="justify" wrapText="1"/>
    </xf>
    <xf numFmtId="0" fontId="2" fillId="0" borderId="52" xfId="0" applyFont="1" applyBorder="1" applyAlignment="1">
      <alignment horizontal="justify" vertical="justify" wrapText="1"/>
    </xf>
    <xf numFmtId="0" fontId="2" fillId="0" borderId="78" xfId="0" applyFont="1" applyFill="1" applyBorder="1" applyAlignment="1">
      <alignment horizontal="justify" vertical="justify" wrapText="1"/>
    </xf>
    <xf numFmtId="0" fontId="2" fillId="0" borderId="52" xfId="0" applyFont="1" applyFill="1" applyBorder="1" applyAlignment="1">
      <alignment horizontal="justify" vertical="justify" wrapText="1"/>
    </xf>
    <xf numFmtId="0" fontId="7" fillId="0" borderId="0" xfId="0" applyFont="1" applyBorder="1" applyAlignment="1">
      <alignment horizontal="left"/>
    </xf>
    <xf numFmtId="0" fontId="94" fillId="0" borderId="50" xfId="0" applyFont="1" applyBorder="1" applyAlignment="1">
      <alignment horizontal="left" vertical="center"/>
    </xf>
    <xf numFmtId="0" fontId="94" fillId="0" borderId="23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 wrapText="1"/>
    </xf>
    <xf numFmtId="0" fontId="2" fillId="0" borderId="58" xfId="0" applyFont="1" applyFill="1" applyBorder="1" applyAlignment="1">
      <alignment horizontal="justify" vertical="justify" wrapText="1"/>
    </xf>
    <xf numFmtId="0" fontId="88" fillId="0" borderId="52" xfId="0" applyFont="1" applyBorder="1" applyAlignment="1">
      <alignment horizontal="left" vertical="center" wrapText="1"/>
    </xf>
    <xf numFmtId="0" fontId="88" fillId="0" borderId="78" xfId="0" applyFont="1" applyBorder="1" applyAlignment="1">
      <alignment horizontal="left" vertical="center" wrapText="1"/>
    </xf>
    <xf numFmtId="0" fontId="88" fillId="0" borderId="58" xfId="0" applyFont="1" applyBorder="1" applyAlignment="1">
      <alignment horizontal="left" vertical="center" wrapText="1"/>
    </xf>
    <xf numFmtId="0" fontId="88" fillId="0" borderId="52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  <xf numFmtId="0" fontId="88" fillId="0" borderId="78" xfId="0" applyFont="1" applyBorder="1" applyAlignment="1">
      <alignment horizontal="left" vertical="center"/>
    </xf>
    <xf numFmtId="0" fontId="88" fillId="0" borderId="31" xfId="0" applyFont="1" applyBorder="1" applyAlignment="1">
      <alignment horizontal="left" vertical="center"/>
    </xf>
    <xf numFmtId="0" fontId="88" fillId="0" borderId="52" xfId="0" applyFont="1" applyBorder="1" applyAlignment="1">
      <alignment horizontal="left" vertical="center"/>
    </xf>
    <xf numFmtId="0" fontId="88" fillId="0" borderId="78" xfId="0" applyFont="1" applyFill="1" applyBorder="1" applyAlignment="1">
      <alignment horizontal="center" vertical="center" wrapText="1"/>
    </xf>
    <xf numFmtId="0" fontId="88" fillId="0" borderId="58" xfId="0" applyFont="1" applyFill="1" applyBorder="1" applyAlignment="1">
      <alignment horizontal="center" vertical="center" wrapText="1"/>
    </xf>
    <xf numFmtId="0" fontId="88" fillId="0" borderId="78" xfId="0" applyFont="1" applyBorder="1" applyAlignment="1">
      <alignment horizontal="center" vertical="center" wrapText="1"/>
    </xf>
    <xf numFmtId="0" fontId="88" fillId="0" borderId="58" xfId="0" applyFont="1" applyBorder="1" applyAlignment="1">
      <alignment horizontal="center" vertical="center" wrapText="1"/>
    </xf>
    <xf numFmtId="0" fontId="88" fillId="0" borderId="5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8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X6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S3" sqref="AS3:AU3"/>
    </sheetView>
  </sheetViews>
  <sheetFormatPr defaultColWidth="9.140625" defaultRowHeight="15"/>
  <cols>
    <col min="1" max="1" width="63.140625" style="74" customWidth="1"/>
    <col min="2" max="2" width="3.8515625" style="74" customWidth="1"/>
    <col min="3" max="3" width="13.57421875" style="74" bestFit="1" customWidth="1"/>
    <col min="4" max="4" width="14.57421875" style="74" bestFit="1" customWidth="1"/>
    <col min="5" max="6" width="14.421875" style="74" customWidth="1"/>
    <col min="7" max="7" width="13.8515625" style="74" customWidth="1"/>
    <col min="8" max="8" width="14.8515625" style="74" customWidth="1"/>
    <col min="9" max="9" width="13.57421875" style="74" bestFit="1" customWidth="1"/>
    <col min="10" max="10" width="14.57421875" style="74" bestFit="1" customWidth="1"/>
    <col min="11" max="11" width="14.8515625" style="74" customWidth="1"/>
    <col min="12" max="12" width="14.57421875" style="74" bestFit="1" customWidth="1"/>
    <col min="13" max="13" width="13.57421875" style="326" bestFit="1" customWidth="1"/>
    <col min="14" max="14" width="14.57421875" style="326" bestFit="1" customWidth="1"/>
    <col min="15" max="15" width="13.57421875" style="74" bestFit="1" customWidth="1"/>
    <col min="16" max="18" width="14.57421875" style="74" bestFit="1" customWidth="1"/>
    <col min="19" max="19" width="13.57421875" style="74" bestFit="1" customWidth="1"/>
    <col min="20" max="20" width="14.57421875" style="74" bestFit="1" customWidth="1"/>
    <col min="21" max="21" width="13.57421875" style="74" bestFit="1" customWidth="1"/>
    <col min="22" max="26" width="14.57421875" style="74" bestFit="1" customWidth="1"/>
    <col min="27" max="27" width="13.57421875" style="74" bestFit="1" customWidth="1"/>
    <col min="28" max="28" width="14.57421875" style="74" bestFit="1" customWidth="1"/>
    <col min="29" max="29" width="13.57421875" style="74" bestFit="1" customWidth="1"/>
    <col min="30" max="30" width="14.57421875" style="74" bestFit="1" customWidth="1"/>
    <col min="31" max="31" width="13.57421875" style="74" bestFit="1" customWidth="1"/>
    <col min="32" max="32" width="14.57421875" style="74" bestFit="1" customWidth="1"/>
    <col min="33" max="33" width="13.57421875" style="74" bestFit="1" customWidth="1"/>
    <col min="34" max="34" width="15.7109375" style="74" bestFit="1" customWidth="1"/>
    <col min="35" max="35" width="13.57421875" style="74" bestFit="1" customWidth="1"/>
    <col min="36" max="36" width="14.57421875" style="74" bestFit="1" customWidth="1"/>
    <col min="37" max="37" width="13.57421875" style="74" bestFit="1" customWidth="1"/>
    <col min="38" max="38" width="14.57421875" style="74" bestFit="1" customWidth="1"/>
    <col min="39" max="39" width="13.57421875" style="74" bestFit="1" customWidth="1"/>
    <col min="40" max="40" width="14.57421875" style="74" bestFit="1" customWidth="1"/>
    <col min="41" max="41" width="13.57421875" style="74" bestFit="1" customWidth="1"/>
    <col min="42" max="42" width="14.57421875" style="74" bestFit="1" customWidth="1"/>
    <col min="43" max="43" width="13.57421875" style="74" bestFit="1" customWidth="1"/>
    <col min="44" max="44" width="14.57421875" style="74" bestFit="1" customWidth="1"/>
    <col min="45" max="45" width="13.57421875" style="74" bestFit="1" customWidth="1"/>
    <col min="46" max="46" width="14.57421875" style="74" bestFit="1" customWidth="1"/>
    <col min="47" max="47" width="13.57421875" style="74" bestFit="1" customWidth="1"/>
    <col min="48" max="48" width="14.57421875" style="74" bestFit="1" customWidth="1"/>
    <col min="49" max="50" width="15.7109375" style="74" bestFit="1" customWidth="1"/>
    <col min="51" max="16384" width="9.140625" style="74" customWidth="1"/>
  </cols>
  <sheetData>
    <row r="1" spans="1:50" ht="18.75" thickBot="1">
      <c r="A1" s="1144" t="s">
        <v>212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  <c r="AA1" s="1144"/>
      <c r="AB1" s="1144"/>
      <c r="AC1" s="1144"/>
      <c r="AD1" s="1144"/>
      <c r="AE1" s="1144"/>
      <c r="AF1" s="1144"/>
      <c r="AG1" s="1144"/>
      <c r="AH1" s="1144"/>
      <c r="AI1" s="1144"/>
      <c r="AJ1" s="1144"/>
      <c r="AK1" s="1144"/>
      <c r="AL1" s="1144"/>
      <c r="AM1" s="1144"/>
      <c r="AN1" s="1144"/>
      <c r="AO1" s="1144"/>
      <c r="AP1" s="1144"/>
      <c r="AQ1" s="1144"/>
      <c r="AR1" s="1144"/>
      <c r="AS1" s="1144"/>
      <c r="AT1" s="1144"/>
      <c r="AU1" s="1144"/>
      <c r="AV1" s="1144"/>
      <c r="AW1" s="1144"/>
      <c r="AX1" s="1144"/>
    </row>
    <row r="2" spans="1:50" ht="45" customHeight="1" thickBot="1">
      <c r="A2" s="1145" t="s">
        <v>0</v>
      </c>
      <c r="B2" s="500"/>
      <c r="C2" s="1147" t="s">
        <v>117</v>
      </c>
      <c r="D2" s="1148"/>
      <c r="E2" s="1142" t="s">
        <v>118</v>
      </c>
      <c r="F2" s="1143"/>
      <c r="G2" s="1142" t="s">
        <v>119</v>
      </c>
      <c r="H2" s="1143"/>
      <c r="I2" s="1142" t="s">
        <v>120</v>
      </c>
      <c r="J2" s="1143"/>
      <c r="K2" s="1142" t="s">
        <v>121</v>
      </c>
      <c r="L2" s="1143"/>
      <c r="M2" s="1142" t="s">
        <v>122</v>
      </c>
      <c r="N2" s="1143"/>
      <c r="O2" s="1142" t="s">
        <v>302</v>
      </c>
      <c r="P2" s="1143"/>
      <c r="Q2" s="1142" t="s">
        <v>124</v>
      </c>
      <c r="R2" s="1143"/>
      <c r="S2" s="1142" t="s">
        <v>125</v>
      </c>
      <c r="T2" s="1143"/>
      <c r="U2" s="1142" t="s">
        <v>126</v>
      </c>
      <c r="V2" s="1143"/>
      <c r="W2" s="1142" t="s">
        <v>127</v>
      </c>
      <c r="X2" s="1143"/>
      <c r="Y2" s="1142" t="s">
        <v>128</v>
      </c>
      <c r="Z2" s="1143"/>
      <c r="AA2" s="1142" t="s">
        <v>129</v>
      </c>
      <c r="AB2" s="1143"/>
      <c r="AC2" s="1142" t="s">
        <v>130</v>
      </c>
      <c r="AD2" s="1143"/>
      <c r="AE2" s="1142" t="s">
        <v>131</v>
      </c>
      <c r="AF2" s="1143"/>
      <c r="AG2" s="1142" t="s">
        <v>132</v>
      </c>
      <c r="AH2" s="1143"/>
      <c r="AI2" s="1142" t="s">
        <v>133</v>
      </c>
      <c r="AJ2" s="1143"/>
      <c r="AK2" s="1142" t="s">
        <v>134</v>
      </c>
      <c r="AL2" s="1143"/>
      <c r="AM2" s="1142" t="s">
        <v>135</v>
      </c>
      <c r="AN2" s="1143"/>
      <c r="AO2" s="1142" t="s">
        <v>136</v>
      </c>
      <c r="AP2" s="1143"/>
      <c r="AQ2" s="1142" t="s">
        <v>137</v>
      </c>
      <c r="AR2" s="1143"/>
      <c r="AS2" s="1142" t="s">
        <v>138</v>
      </c>
      <c r="AT2" s="1143"/>
      <c r="AU2" s="1142" t="s">
        <v>139</v>
      </c>
      <c r="AV2" s="1143"/>
      <c r="AW2" s="1142" t="s">
        <v>140</v>
      </c>
      <c r="AX2" s="1143"/>
    </row>
    <row r="3" spans="1:50" s="377" customFormat="1" ht="15" customHeight="1" thickBot="1">
      <c r="A3" s="1146"/>
      <c r="B3" s="510"/>
      <c r="C3" s="1078" t="s">
        <v>295</v>
      </c>
      <c r="D3" s="424" t="s">
        <v>296</v>
      </c>
      <c r="E3" s="1078" t="s">
        <v>295</v>
      </c>
      <c r="F3" s="424" t="s">
        <v>296</v>
      </c>
      <c r="G3" s="424" t="s">
        <v>295</v>
      </c>
      <c r="H3" s="424" t="s">
        <v>296</v>
      </c>
      <c r="I3" s="424" t="s">
        <v>295</v>
      </c>
      <c r="J3" s="424" t="s">
        <v>296</v>
      </c>
      <c r="K3" s="424" t="s">
        <v>295</v>
      </c>
      <c r="L3" s="424" t="s">
        <v>296</v>
      </c>
      <c r="M3" s="424" t="s">
        <v>295</v>
      </c>
      <c r="N3" s="424" t="s">
        <v>296</v>
      </c>
      <c r="O3" s="424" t="s">
        <v>295</v>
      </c>
      <c r="P3" s="424" t="s">
        <v>296</v>
      </c>
      <c r="Q3" s="424" t="s">
        <v>295</v>
      </c>
      <c r="R3" s="424" t="s">
        <v>296</v>
      </c>
      <c r="S3" s="424" t="s">
        <v>295</v>
      </c>
      <c r="T3" s="424" t="s">
        <v>296</v>
      </c>
      <c r="U3" s="424" t="s">
        <v>295</v>
      </c>
      <c r="V3" s="424" t="s">
        <v>296</v>
      </c>
      <c r="W3" s="424" t="s">
        <v>295</v>
      </c>
      <c r="X3" s="424" t="s">
        <v>296</v>
      </c>
      <c r="Y3" s="424" t="s">
        <v>295</v>
      </c>
      <c r="Z3" s="424" t="s">
        <v>296</v>
      </c>
      <c r="AA3" s="424" t="s">
        <v>295</v>
      </c>
      <c r="AB3" s="424" t="s">
        <v>296</v>
      </c>
      <c r="AC3" s="424" t="s">
        <v>295</v>
      </c>
      <c r="AD3" s="424" t="s">
        <v>296</v>
      </c>
      <c r="AE3" s="424" t="s">
        <v>295</v>
      </c>
      <c r="AF3" s="424" t="s">
        <v>296</v>
      </c>
      <c r="AG3" s="424" t="s">
        <v>295</v>
      </c>
      <c r="AH3" s="424" t="s">
        <v>296</v>
      </c>
      <c r="AI3" s="424" t="s">
        <v>295</v>
      </c>
      <c r="AJ3" s="424" t="s">
        <v>296</v>
      </c>
      <c r="AK3" s="424" t="s">
        <v>295</v>
      </c>
      <c r="AL3" s="424" t="s">
        <v>296</v>
      </c>
      <c r="AM3" s="424" t="s">
        <v>295</v>
      </c>
      <c r="AN3" s="424" t="s">
        <v>296</v>
      </c>
      <c r="AO3" s="424" t="s">
        <v>295</v>
      </c>
      <c r="AP3" s="424" t="s">
        <v>296</v>
      </c>
      <c r="AQ3" s="424" t="s">
        <v>295</v>
      </c>
      <c r="AR3" s="424" t="s">
        <v>296</v>
      </c>
      <c r="AS3" s="424" t="s">
        <v>295</v>
      </c>
      <c r="AT3" s="424" t="s">
        <v>296</v>
      </c>
      <c r="AU3" s="424" t="s">
        <v>295</v>
      </c>
      <c r="AV3" s="424" t="s">
        <v>296</v>
      </c>
      <c r="AW3" s="424" t="s">
        <v>295</v>
      </c>
      <c r="AX3" s="424" t="s">
        <v>296</v>
      </c>
    </row>
    <row r="4" spans="1:50" ht="15" customHeight="1">
      <c r="A4" s="346" t="s">
        <v>21</v>
      </c>
      <c r="B4" s="348"/>
      <c r="C4" s="1080"/>
      <c r="D4" s="1082"/>
      <c r="E4" s="1077"/>
      <c r="F4" s="347"/>
      <c r="G4" s="350"/>
      <c r="H4" s="347"/>
      <c r="I4" s="347"/>
      <c r="J4" s="347"/>
      <c r="K4" s="347"/>
      <c r="L4" s="347"/>
      <c r="M4" s="353"/>
      <c r="N4" s="353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50"/>
      <c r="AX4" s="347"/>
    </row>
    <row r="5" spans="1:50" ht="25.5" customHeight="1">
      <c r="A5" s="284" t="s">
        <v>22</v>
      </c>
      <c r="B5" s="345" t="s">
        <v>148</v>
      </c>
      <c r="C5" s="336">
        <v>22275947</v>
      </c>
      <c r="D5" s="1083">
        <v>53131380</v>
      </c>
      <c r="E5" s="336">
        <v>1318800</v>
      </c>
      <c r="F5" s="575">
        <v>3715400</v>
      </c>
      <c r="G5" s="351">
        <v>2788023</v>
      </c>
      <c r="H5" s="343">
        <v>7716433</v>
      </c>
      <c r="I5" s="341">
        <v>25518979</v>
      </c>
      <c r="J5" s="343">
        <v>66242229</v>
      </c>
      <c r="K5" s="343">
        <v>5439161</v>
      </c>
      <c r="L5" s="343">
        <v>14998988</v>
      </c>
      <c r="M5" s="354">
        <v>9167083</v>
      </c>
      <c r="N5" s="354">
        <v>27121103</v>
      </c>
      <c r="O5" s="343">
        <v>3071730</v>
      </c>
      <c r="P5" s="578">
        <v>9349867</v>
      </c>
      <c r="Q5" s="356">
        <v>2426452</v>
      </c>
      <c r="R5" s="356">
        <v>6373435</v>
      </c>
      <c r="S5" s="343">
        <v>7506733</v>
      </c>
      <c r="T5" s="343">
        <v>21116524</v>
      </c>
      <c r="U5" s="343">
        <v>3463598</v>
      </c>
      <c r="V5" s="343">
        <v>9344256</v>
      </c>
      <c r="W5" s="343">
        <v>80010818</v>
      </c>
      <c r="X5" s="343">
        <v>220920719</v>
      </c>
      <c r="Y5" s="343">
        <v>82636468</v>
      </c>
      <c r="Z5" s="343">
        <v>227837003</v>
      </c>
      <c r="AA5" s="360">
        <v>4211422</v>
      </c>
      <c r="AB5" s="360">
        <v>12225708</v>
      </c>
      <c r="AC5" s="343">
        <v>7677974</v>
      </c>
      <c r="AD5" s="343">
        <v>22299828</v>
      </c>
      <c r="AE5" s="343">
        <v>26447287</v>
      </c>
      <c r="AF5" s="343">
        <v>64753896</v>
      </c>
      <c r="AG5" s="343">
        <v>38789633</v>
      </c>
      <c r="AH5" s="343">
        <v>103110452</v>
      </c>
      <c r="AI5" s="343">
        <v>13632884</v>
      </c>
      <c r="AJ5" s="343">
        <v>35764712</v>
      </c>
      <c r="AK5" s="343">
        <v>10848588</v>
      </c>
      <c r="AL5" s="343">
        <v>30084652</v>
      </c>
      <c r="AM5" s="363"/>
      <c r="AN5" s="363"/>
      <c r="AO5" s="1088">
        <v>117596628</v>
      </c>
      <c r="AP5" s="1087">
        <v>286975141</v>
      </c>
      <c r="AQ5" s="364">
        <v>4519837</v>
      </c>
      <c r="AR5" s="364">
        <v>11472772</v>
      </c>
      <c r="AS5" s="361">
        <v>6326743</v>
      </c>
      <c r="AT5" s="361">
        <v>15239000</v>
      </c>
      <c r="AU5" s="343">
        <v>21110439</v>
      </c>
      <c r="AV5" s="343">
        <v>52468381</v>
      </c>
      <c r="AW5" s="583">
        <v>971473475</v>
      </c>
      <c r="AX5" s="361">
        <v>2776281659</v>
      </c>
    </row>
    <row r="6" spans="1:50" ht="16.5">
      <c r="A6" s="284" t="s">
        <v>149</v>
      </c>
      <c r="B6" s="349"/>
      <c r="C6" s="336">
        <v>-650316</v>
      </c>
      <c r="D6" s="1083">
        <v>-1878560</v>
      </c>
      <c r="E6" s="336">
        <v>-154358</v>
      </c>
      <c r="F6" s="575">
        <v>-454060</v>
      </c>
      <c r="G6" s="351">
        <v>-141459</v>
      </c>
      <c r="H6" s="343">
        <v>-433661</v>
      </c>
      <c r="I6" s="341">
        <v>-218766</v>
      </c>
      <c r="J6" s="343">
        <v>-561680</v>
      </c>
      <c r="K6" s="343">
        <v>-74572</v>
      </c>
      <c r="L6" s="343">
        <v>-219795</v>
      </c>
      <c r="M6" s="354">
        <v>-83979</v>
      </c>
      <c r="N6" s="354">
        <v>-465339</v>
      </c>
      <c r="O6" s="343">
        <v>-262712</v>
      </c>
      <c r="P6" s="343">
        <v>-825634</v>
      </c>
      <c r="Q6" s="357">
        <v>-116626</v>
      </c>
      <c r="R6" s="357">
        <v>-331007</v>
      </c>
      <c r="S6" s="343">
        <v>-152130</v>
      </c>
      <c r="T6" s="343">
        <v>-601868</v>
      </c>
      <c r="U6" s="343">
        <v>-101900</v>
      </c>
      <c r="V6" s="343">
        <v>-308771</v>
      </c>
      <c r="W6" s="343">
        <v>-1467781</v>
      </c>
      <c r="X6" s="343">
        <v>-3329301</v>
      </c>
      <c r="Y6" s="343">
        <v>-1326484</v>
      </c>
      <c r="Z6" s="343">
        <v>-3789659</v>
      </c>
      <c r="AA6" s="360">
        <v>-41182</v>
      </c>
      <c r="AB6" s="360">
        <v>-109286</v>
      </c>
      <c r="AC6" s="343">
        <v>-273429</v>
      </c>
      <c r="AD6" s="343">
        <v>-796697</v>
      </c>
      <c r="AE6" s="343">
        <v>-283866</v>
      </c>
      <c r="AF6" s="343">
        <v>-955546</v>
      </c>
      <c r="AG6" s="343">
        <v>-450630</v>
      </c>
      <c r="AH6" s="343">
        <v>-1487531</v>
      </c>
      <c r="AI6" s="343">
        <v>-285092</v>
      </c>
      <c r="AJ6" s="343">
        <v>-1035968</v>
      </c>
      <c r="AK6" s="343">
        <v>-59869</v>
      </c>
      <c r="AL6" s="343">
        <v>-165942</v>
      </c>
      <c r="AM6" s="363"/>
      <c r="AN6" s="363"/>
      <c r="AO6" s="1088">
        <v>-651558</v>
      </c>
      <c r="AP6" s="1088">
        <v>-2364796</v>
      </c>
      <c r="AQ6" s="364">
        <v>-12510</v>
      </c>
      <c r="AR6" s="364">
        <v>-38827</v>
      </c>
      <c r="AS6" s="361">
        <v>-58043</v>
      </c>
      <c r="AT6" s="361">
        <v>-524492</v>
      </c>
      <c r="AU6" s="343">
        <v>-526216</v>
      </c>
      <c r="AV6" s="343">
        <v>-1412295</v>
      </c>
      <c r="AW6" s="583">
        <v>-1132866</v>
      </c>
      <c r="AX6" s="361">
        <v>-2155730</v>
      </c>
    </row>
    <row r="7" spans="1:50" ht="16.5">
      <c r="A7" s="284" t="s">
        <v>150</v>
      </c>
      <c r="B7" s="349"/>
      <c r="C7" s="341"/>
      <c r="D7" s="1083"/>
      <c r="E7" s="341"/>
      <c r="F7" s="575"/>
      <c r="G7" s="351"/>
      <c r="H7" s="343"/>
      <c r="I7" s="343"/>
      <c r="J7" s="343"/>
      <c r="K7" s="343"/>
      <c r="L7" s="343"/>
      <c r="M7" s="354"/>
      <c r="N7" s="354"/>
      <c r="O7" s="343"/>
      <c r="P7" s="343"/>
      <c r="Q7" s="357"/>
      <c r="R7" s="357"/>
      <c r="S7" s="343"/>
      <c r="T7" s="343"/>
      <c r="U7" s="343"/>
      <c r="V7" s="343"/>
      <c r="W7" s="343"/>
      <c r="X7" s="343"/>
      <c r="Y7" s="343"/>
      <c r="Z7" s="343"/>
      <c r="AA7" s="360"/>
      <c r="AB7" s="360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63"/>
      <c r="AN7" s="363"/>
      <c r="AO7" s="1089"/>
      <c r="AP7" s="1089"/>
      <c r="AQ7" s="364"/>
      <c r="AR7" s="364"/>
      <c r="AS7" s="361"/>
      <c r="AT7" s="361"/>
      <c r="AU7" s="343"/>
      <c r="AV7" s="343"/>
      <c r="AW7" s="583"/>
      <c r="AX7" s="361"/>
    </row>
    <row r="8" spans="1:50" ht="16.5">
      <c r="A8" s="345" t="s">
        <v>151</v>
      </c>
      <c r="B8" s="349"/>
      <c r="C8" s="341"/>
      <c r="D8" s="1083">
        <v>51252820</v>
      </c>
      <c r="E8" s="341">
        <f>SUM(E5:E7)</f>
        <v>1164442</v>
      </c>
      <c r="F8" s="575">
        <f>SUM(F5:F7)</f>
        <v>3261340</v>
      </c>
      <c r="G8" s="351">
        <f aca="true" t="shared" si="0" ref="G8:L8">SUM(G5:G7)</f>
        <v>2646564</v>
      </c>
      <c r="H8" s="351">
        <f t="shared" si="0"/>
        <v>7282772</v>
      </c>
      <c r="I8" s="343">
        <f>SUM(I5:I7)</f>
        <v>25300213</v>
      </c>
      <c r="J8" s="343">
        <f t="shared" si="0"/>
        <v>65680549</v>
      </c>
      <c r="K8" s="343">
        <f t="shared" si="0"/>
        <v>5364589</v>
      </c>
      <c r="L8" s="343">
        <f t="shared" si="0"/>
        <v>14779193</v>
      </c>
      <c r="M8" s="343">
        <f aca="true" t="shared" si="1" ref="M8:AV8">SUM(M5:M7)</f>
        <v>9083104</v>
      </c>
      <c r="N8" s="343">
        <f t="shared" si="1"/>
        <v>26655764</v>
      </c>
      <c r="O8" s="343">
        <f t="shared" si="1"/>
        <v>2809018</v>
      </c>
      <c r="P8" s="343">
        <f t="shared" si="1"/>
        <v>8524233</v>
      </c>
      <c r="Q8" s="343">
        <f t="shared" si="1"/>
        <v>2309826</v>
      </c>
      <c r="R8" s="343">
        <f t="shared" si="1"/>
        <v>6042428</v>
      </c>
      <c r="S8" s="343">
        <f t="shared" si="1"/>
        <v>7354603</v>
      </c>
      <c r="T8" s="343">
        <f t="shared" si="1"/>
        <v>20514656</v>
      </c>
      <c r="U8" s="343">
        <f t="shared" si="1"/>
        <v>3361698</v>
      </c>
      <c r="V8" s="343">
        <f t="shared" si="1"/>
        <v>9035485</v>
      </c>
      <c r="W8" s="343">
        <f t="shared" si="1"/>
        <v>78543037</v>
      </c>
      <c r="X8" s="343">
        <f t="shared" si="1"/>
        <v>217591418</v>
      </c>
      <c r="Y8" s="343">
        <f t="shared" si="1"/>
        <v>81309984</v>
      </c>
      <c r="Z8" s="343">
        <f t="shared" si="1"/>
        <v>224047344</v>
      </c>
      <c r="AA8" s="343">
        <f t="shared" si="1"/>
        <v>4170240</v>
      </c>
      <c r="AB8" s="343">
        <f t="shared" si="1"/>
        <v>12116422</v>
      </c>
      <c r="AC8" s="343">
        <f t="shared" si="1"/>
        <v>7404545</v>
      </c>
      <c r="AD8" s="343">
        <f t="shared" si="1"/>
        <v>21503131</v>
      </c>
      <c r="AE8" s="343">
        <f t="shared" si="1"/>
        <v>26163421</v>
      </c>
      <c r="AF8" s="343">
        <f t="shared" si="1"/>
        <v>63798350</v>
      </c>
      <c r="AG8" s="343">
        <f t="shared" si="1"/>
        <v>38339003</v>
      </c>
      <c r="AH8" s="343">
        <f t="shared" si="1"/>
        <v>101622921</v>
      </c>
      <c r="AI8" s="343">
        <f t="shared" si="1"/>
        <v>13347792</v>
      </c>
      <c r="AJ8" s="343">
        <f t="shared" si="1"/>
        <v>34728744</v>
      </c>
      <c r="AK8" s="343">
        <f t="shared" si="1"/>
        <v>10788719</v>
      </c>
      <c r="AL8" s="343">
        <f t="shared" si="1"/>
        <v>29918710</v>
      </c>
      <c r="AM8" s="343">
        <f t="shared" si="1"/>
        <v>0</v>
      </c>
      <c r="AN8" s="343">
        <f t="shared" si="1"/>
        <v>0</v>
      </c>
      <c r="AO8" s="343">
        <f t="shared" si="1"/>
        <v>116945070</v>
      </c>
      <c r="AP8" s="343">
        <f t="shared" si="1"/>
        <v>284610345</v>
      </c>
      <c r="AQ8" s="343">
        <f t="shared" si="1"/>
        <v>4507327</v>
      </c>
      <c r="AR8" s="343">
        <f t="shared" si="1"/>
        <v>11433945</v>
      </c>
      <c r="AS8" s="343">
        <f t="shared" si="1"/>
        <v>6268700</v>
      </c>
      <c r="AT8" s="343">
        <f t="shared" si="1"/>
        <v>14714508</v>
      </c>
      <c r="AU8" s="343">
        <f t="shared" si="1"/>
        <v>20584223</v>
      </c>
      <c r="AV8" s="343">
        <f t="shared" si="1"/>
        <v>51056086</v>
      </c>
      <c r="AW8" s="583">
        <f>SUM(AW5:AW7)</f>
        <v>970340609</v>
      </c>
      <c r="AX8" s="361">
        <f>SUM(AX5:AX7)</f>
        <v>2774125929</v>
      </c>
    </row>
    <row r="9" spans="1:50" ht="17.25">
      <c r="A9" s="345" t="s">
        <v>152</v>
      </c>
      <c r="B9" s="349"/>
      <c r="C9" s="342"/>
      <c r="D9" s="1084"/>
      <c r="E9" s="342"/>
      <c r="F9" s="576"/>
      <c r="G9" s="352"/>
      <c r="H9" s="344"/>
      <c r="I9" s="344"/>
      <c r="J9" s="344"/>
      <c r="K9" s="344"/>
      <c r="L9" s="344"/>
      <c r="M9" s="355"/>
      <c r="N9" s="355"/>
      <c r="O9" s="344"/>
      <c r="P9" s="344"/>
      <c r="Q9" s="358"/>
      <c r="R9" s="358"/>
      <c r="S9" s="344"/>
      <c r="T9" s="344"/>
      <c r="U9" s="344"/>
      <c r="V9" s="344"/>
      <c r="W9" s="344"/>
      <c r="X9" s="344"/>
      <c r="Y9" s="344"/>
      <c r="Z9" s="344"/>
      <c r="AA9" s="360"/>
      <c r="AB9" s="360"/>
      <c r="AC9" s="344"/>
      <c r="AD9" s="344"/>
      <c r="AE9" s="362"/>
      <c r="AF9" s="362"/>
      <c r="AG9" s="344"/>
      <c r="AH9" s="344"/>
      <c r="AI9" s="344"/>
      <c r="AJ9" s="344"/>
      <c r="AK9" s="344"/>
      <c r="AL9" s="344"/>
      <c r="AM9" s="363"/>
      <c r="AN9" s="363"/>
      <c r="AO9" s="1089"/>
      <c r="AP9" s="1089"/>
      <c r="AQ9" s="364"/>
      <c r="AR9" s="364"/>
      <c r="AS9" s="361"/>
      <c r="AT9" s="361"/>
      <c r="AU9" s="344"/>
      <c r="AV9" s="344"/>
      <c r="AW9" s="352"/>
      <c r="AX9" s="344"/>
    </row>
    <row r="10" spans="1:50" ht="17.25">
      <c r="A10" s="284" t="s">
        <v>153</v>
      </c>
      <c r="B10" s="349"/>
      <c r="C10" s="341">
        <v>5727857</v>
      </c>
      <c r="D10" s="1083">
        <v>17502824</v>
      </c>
      <c r="E10" s="341">
        <v>344111</v>
      </c>
      <c r="F10" s="575">
        <v>1018762</v>
      </c>
      <c r="G10" s="351">
        <v>1379866</v>
      </c>
      <c r="H10" s="343">
        <v>4225960</v>
      </c>
      <c r="I10" s="343">
        <v>5734988</v>
      </c>
      <c r="J10" s="343">
        <v>17819445</v>
      </c>
      <c r="K10" s="343">
        <v>1022764</v>
      </c>
      <c r="L10" s="343">
        <v>3030862</v>
      </c>
      <c r="M10" s="354">
        <v>1804045</v>
      </c>
      <c r="N10" s="354">
        <v>5442163</v>
      </c>
      <c r="O10" s="343">
        <v>716747</v>
      </c>
      <c r="P10" s="343">
        <v>2073335</v>
      </c>
      <c r="Q10" s="357">
        <v>384829</v>
      </c>
      <c r="R10" s="357">
        <v>1117231</v>
      </c>
      <c r="S10" s="343">
        <v>2395878</v>
      </c>
      <c r="T10" s="343">
        <v>6989931</v>
      </c>
      <c r="U10" s="343">
        <v>687389</v>
      </c>
      <c r="V10" s="343">
        <v>1999676</v>
      </c>
      <c r="W10" s="343">
        <v>16708305</v>
      </c>
      <c r="X10" s="343">
        <v>50073949</v>
      </c>
      <c r="Y10" s="343">
        <v>14357627</v>
      </c>
      <c r="Z10" s="343">
        <v>45480441</v>
      </c>
      <c r="AA10" s="343">
        <v>1428366</v>
      </c>
      <c r="AB10" s="343">
        <v>4164492</v>
      </c>
      <c r="AC10" s="343">
        <v>2119462</v>
      </c>
      <c r="AD10" s="343">
        <v>6100954</v>
      </c>
      <c r="AE10" s="343">
        <v>4358261</v>
      </c>
      <c r="AF10" s="343">
        <v>12904221</v>
      </c>
      <c r="AG10" s="343">
        <v>9727161</v>
      </c>
      <c r="AH10" s="343">
        <v>28382130</v>
      </c>
      <c r="AI10" s="343">
        <v>3212782</v>
      </c>
      <c r="AJ10" s="343">
        <v>9401121</v>
      </c>
      <c r="AK10" s="343">
        <v>2841043</v>
      </c>
      <c r="AL10" s="343">
        <v>8678628</v>
      </c>
      <c r="AM10" s="363"/>
      <c r="AN10" s="363"/>
      <c r="AO10" s="1088">
        <v>20688995</v>
      </c>
      <c r="AP10" s="1088">
        <v>62289991</v>
      </c>
      <c r="AQ10" s="364">
        <v>720500</v>
      </c>
      <c r="AR10" s="364">
        <v>2017379</v>
      </c>
      <c r="AS10" s="361">
        <v>1377908</v>
      </c>
      <c r="AT10" s="361">
        <v>4031728</v>
      </c>
      <c r="AU10" s="344">
        <v>3058237</v>
      </c>
      <c r="AV10" s="344">
        <v>10672757</v>
      </c>
      <c r="AW10" s="583">
        <v>535070574</v>
      </c>
      <c r="AX10" s="361">
        <v>1588241626</v>
      </c>
    </row>
    <row r="11" spans="1:50" ht="16.5">
      <c r="A11" s="284" t="s">
        <v>154</v>
      </c>
      <c r="B11" s="349"/>
      <c r="C11" s="341">
        <v>2883996</v>
      </c>
      <c r="D11" s="1083">
        <v>9007065</v>
      </c>
      <c r="E11" s="341">
        <v>201180</v>
      </c>
      <c r="F11" s="575">
        <v>687922</v>
      </c>
      <c r="G11" s="351">
        <v>1009388</v>
      </c>
      <c r="H11" s="343">
        <v>2560491</v>
      </c>
      <c r="I11" s="343">
        <v>5365307</v>
      </c>
      <c r="J11" s="343">
        <v>16454342</v>
      </c>
      <c r="K11" s="343">
        <v>370883</v>
      </c>
      <c r="L11" s="343">
        <v>1511361</v>
      </c>
      <c r="M11" s="354">
        <v>1992280</v>
      </c>
      <c r="N11" s="354">
        <v>5663105</v>
      </c>
      <c r="O11" s="343">
        <v>155145</v>
      </c>
      <c r="P11" s="343">
        <v>793807</v>
      </c>
      <c r="Q11" s="357">
        <v>258899</v>
      </c>
      <c r="R11" s="357">
        <v>906780</v>
      </c>
      <c r="S11" s="343">
        <v>573901</v>
      </c>
      <c r="T11" s="343">
        <v>2173393</v>
      </c>
      <c r="U11" s="343">
        <v>112601</v>
      </c>
      <c r="V11" s="343">
        <v>353749</v>
      </c>
      <c r="W11" s="343">
        <v>11512169</v>
      </c>
      <c r="X11" s="343">
        <v>35111973</v>
      </c>
      <c r="Y11" s="343">
        <v>23835322</v>
      </c>
      <c r="Z11" s="343">
        <v>61633771</v>
      </c>
      <c r="AA11" s="343">
        <v>401320</v>
      </c>
      <c r="AB11" s="343">
        <v>1538500</v>
      </c>
      <c r="AC11" s="343">
        <v>990330</v>
      </c>
      <c r="AD11" s="343">
        <v>2405384</v>
      </c>
      <c r="AE11" s="343">
        <v>2874170</v>
      </c>
      <c r="AF11" s="343">
        <v>8938151</v>
      </c>
      <c r="AG11" s="343">
        <v>5173355</v>
      </c>
      <c r="AH11" s="343">
        <v>16354357</v>
      </c>
      <c r="AI11" s="343">
        <v>1331336</v>
      </c>
      <c r="AJ11" s="343">
        <v>4355723</v>
      </c>
      <c r="AK11" s="343">
        <v>1317284</v>
      </c>
      <c r="AL11" s="343">
        <v>5712203</v>
      </c>
      <c r="AM11" s="363"/>
      <c r="AN11" s="363"/>
      <c r="AO11" s="1088">
        <v>9745042</v>
      </c>
      <c r="AP11" s="1088">
        <v>34066555</v>
      </c>
      <c r="AQ11" s="364">
        <v>464580</v>
      </c>
      <c r="AR11" s="364">
        <v>659774</v>
      </c>
      <c r="AS11" s="361">
        <v>1102879</v>
      </c>
      <c r="AT11" s="361">
        <v>3316645</v>
      </c>
      <c r="AU11" s="343">
        <v>2394504</v>
      </c>
      <c r="AV11" s="343">
        <v>9051159</v>
      </c>
      <c r="AW11" s="583">
        <v>86329580</v>
      </c>
      <c r="AX11" s="361">
        <v>227019928</v>
      </c>
    </row>
    <row r="12" spans="1:50" ht="16.5">
      <c r="A12" s="284" t="s">
        <v>155</v>
      </c>
      <c r="B12" s="349"/>
      <c r="C12" s="341">
        <v>-943695</v>
      </c>
      <c r="D12" s="1083">
        <v>-3347109</v>
      </c>
      <c r="E12" s="341">
        <v>-127902</v>
      </c>
      <c r="F12" s="575">
        <v>-373157</v>
      </c>
      <c r="G12" s="351">
        <v>-342188</v>
      </c>
      <c r="H12" s="343">
        <v>-1221700</v>
      </c>
      <c r="I12" s="343">
        <v>-3126748</v>
      </c>
      <c r="J12" s="343">
        <v>-7238004</v>
      </c>
      <c r="K12" s="343">
        <v>-43874</v>
      </c>
      <c r="L12" s="343">
        <v>-298313</v>
      </c>
      <c r="M12" s="354">
        <v>-1019460</v>
      </c>
      <c r="N12" s="354">
        <v>-3568574</v>
      </c>
      <c r="O12" s="343">
        <v>-1433</v>
      </c>
      <c r="P12" s="343">
        <v>-44949</v>
      </c>
      <c r="Q12" s="357">
        <v>-142807</v>
      </c>
      <c r="R12" s="357">
        <v>-470647</v>
      </c>
      <c r="S12" s="343">
        <v>-327656</v>
      </c>
      <c r="T12" s="343">
        <v>-692468</v>
      </c>
      <c r="U12" s="343">
        <v>-38239</v>
      </c>
      <c r="V12" s="343">
        <v>-122404</v>
      </c>
      <c r="W12" s="343">
        <v>-2273801</v>
      </c>
      <c r="X12" s="343">
        <v>-8599549</v>
      </c>
      <c r="Y12" s="343">
        <v>-7559138</v>
      </c>
      <c r="Z12" s="343">
        <v>-29410215</v>
      </c>
      <c r="AA12" s="343">
        <v>-174793</v>
      </c>
      <c r="AB12" s="343">
        <v>-1360245</v>
      </c>
      <c r="AC12" s="343">
        <v>-198494</v>
      </c>
      <c r="AD12" s="343">
        <v>-939559</v>
      </c>
      <c r="AE12" s="343">
        <v>-516983</v>
      </c>
      <c r="AF12" s="343">
        <v>-2706131</v>
      </c>
      <c r="AG12" s="343">
        <v>-1936463</v>
      </c>
      <c r="AH12" s="343">
        <v>-5627935</v>
      </c>
      <c r="AI12" s="343">
        <v>-243721</v>
      </c>
      <c r="AJ12" s="343">
        <v>-1191056</v>
      </c>
      <c r="AK12" s="343">
        <v>-697898</v>
      </c>
      <c r="AL12" s="343">
        <v>-2173311</v>
      </c>
      <c r="AM12" s="363"/>
      <c r="AN12" s="363"/>
      <c r="AO12" s="1088">
        <v>-1888959</v>
      </c>
      <c r="AP12" s="1088">
        <v>-11329647</v>
      </c>
      <c r="AQ12" s="364">
        <v>-224478</v>
      </c>
      <c r="AR12" s="364">
        <v>-597941</v>
      </c>
      <c r="AS12" s="361">
        <v>-152778</v>
      </c>
      <c r="AT12" s="361">
        <v>-607966</v>
      </c>
      <c r="AU12" s="343">
        <v>-1266273</v>
      </c>
      <c r="AV12" s="343">
        <v>-3466192</v>
      </c>
      <c r="AW12" s="583">
        <v>-16666057</v>
      </c>
      <c r="AX12" s="361">
        <v>-108836499</v>
      </c>
    </row>
    <row r="13" spans="1:50" ht="16.5">
      <c r="A13" s="284" t="s">
        <v>156</v>
      </c>
      <c r="B13" s="349"/>
      <c r="C13" s="341">
        <v>2792589</v>
      </c>
      <c r="D13" s="1083">
        <v>426980</v>
      </c>
      <c r="E13" s="341">
        <v>280628</v>
      </c>
      <c r="F13" s="575">
        <v>-54439</v>
      </c>
      <c r="G13" s="351">
        <v>286422</v>
      </c>
      <c r="H13" s="343">
        <v>-1404392</v>
      </c>
      <c r="I13" s="343">
        <v>3149105</v>
      </c>
      <c r="J13" s="343">
        <v>-5239314</v>
      </c>
      <c r="K13" s="343">
        <v>192142</v>
      </c>
      <c r="L13" s="343">
        <v>-182617</v>
      </c>
      <c r="M13" s="354">
        <v>2666457</v>
      </c>
      <c r="N13" s="354">
        <v>1257349</v>
      </c>
      <c r="O13" s="343">
        <v>93559</v>
      </c>
      <c r="P13" s="343">
        <v>17595</v>
      </c>
      <c r="Q13" s="357">
        <v>206176</v>
      </c>
      <c r="R13" s="357">
        <v>89694</v>
      </c>
      <c r="S13" s="343">
        <v>628492</v>
      </c>
      <c r="T13" s="343">
        <v>42467</v>
      </c>
      <c r="U13" s="343">
        <v>128036</v>
      </c>
      <c r="V13" s="343">
        <v>-45302</v>
      </c>
      <c r="W13" s="343">
        <v>11390036</v>
      </c>
      <c r="X13" s="343">
        <v>-7354431</v>
      </c>
      <c r="Y13" s="343">
        <v>12996813</v>
      </c>
      <c r="Z13" s="343">
        <v>-19368316</v>
      </c>
      <c r="AA13" s="343">
        <v>718999</v>
      </c>
      <c r="AB13" s="343">
        <v>85849</v>
      </c>
      <c r="AC13" s="343">
        <v>452064</v>
      </c>
      <c r="AD13" s="343">
        <v>143361</v>
      </c>
      <c r="AE13" s="343">
        <v>2959640</v>
      </c>
      <c r="AF13" s="343">
        <v>2285539</v>
      </c>
      <c r="AG13" s="343">
        <v>1489241</v>
      </c>
      <c r="AH13" s="343">
        <v>-3121830</v>
      </c>
      <c r="AI13" s="343">
        <v>549248</v>
      </c>
      <c r="AJ13" s="343">
        <v>-1705506</v>
      </c>
      <c r="AK13" s="343">
        <v>-372573</v>
      </c>
      <c r="AL13" s="343">
        <v>-2510525</v>
      </c>
      <c r="AM13" s="363"/>
      <c r="AN13" s="363"/>
      <c r="AO13" s="1088">
        <v>10677120</v>
      </c>
      <c r="AP13" s="1088">
        <v>7891491</v>
      </c>
      <c r="AQ13" s="364"/>
      <c r="AR13" s="364"/>
      <c r="AS13" s="361"/>
      <c r="AT13" s="361"/>
      <c r="AU13" s="343">
        <v>4591505</v>
      </c>
      <c r="AV13" s="343">
        <v>383703</v>
      </c>
      <c r="AW13" s="583">
        <v>4402981</v>
      </c>
      <c r="AX13" s="361">
        <v>58101922</v>
      </c>
    </row>
    <row r="14" spans="1:50" ht="17.25">
      <c r="A14" s="284" t="s">
        <v>157</v>
      </c>
      <c r="B14" s="349"/>
      <c r="C14" s="342"/>
      <c r="D14" s="1084"/>
      <c r="E14" s="342">
        <v>31326</v>
      </c>
      <c r="F14" s="576">
        <v>102979</v>
      </c>
      <c r="G14" s="352"/>
      <c r="H14" s="344"/>
      <c r="I14" s="344">
        <v>679606</v>
      </c>
      <c r="J14" s="344">
        <v>2240982</v>
      </c>
      <c r="K14" s="344"/>
      <c r="L14" s="344"/>
      <c r="M14" s="355"/>
      <c r="N14" s="355"/>
      <c r="O14" s="344">
        <v>-17864</v>
      </c>
      <c r="P14" s="344">
        <v>-45740</v>
      </c>
      <c r="Q14" s="358"/>
      <c r="R14" s="358"/>
      <c r="S14" s="344"/>
      <c r="T14" s="344"/>
      <c r="U14" s="344"/>
      <c r="V14" s="344"/>
      <c r="W14" s="344">
        <v>-11193</v>
      </c>
      <c r="X14" s="344">
        <v>-41429</v>
      </c>
      <c r="Y14" s="344">
        <v>1956332</v>
      </c>
      <c r="Z14" s="344">
        <v>5897766</v>
      </c>
      <c r="AA14" s="360">
        <v>59575</v>
      </c>
      <c r="AB14" s="360">
        <v>230601</v>
      </c>
      <c r="AC14" s="344">
        <v>30234</v>
      </c>
      <c r="AD14" s="344">
        <v>469139</v>
      </c>
      <c r="AE14" s="362"/>
      <c r="AF14" s="362"/>
      <c r="AG14" s="344">
        <v>166514</v>
      </c>
      <c r="AH14" s="344">
        <v>521546</v>
      </c>
      <c r="AI14" s="344">
        <v>120699</v>
      </c>
      <c r="AJ14" s="344">
        <v>443633</v>
      </c>
      <c r="AK14" s="344">
        <v>216631</v>
      </c>
      <c r="AL14" s="344">
        <v>709409</v>
      </c>
      <c r="AM14" s="363"/>
      <c r="AN14" s="363"/>
      <c r="AO14" s="1088">
        <v>1510378</v>
      </c>
      <c r="AP14" s="1088">
        <v>3821419</v>
      </c>
      <c r="AQ14" s="364">
        <v>-7777</v>
      </c>
      <c r="AR14" s="364">
        <v>-2215</v>
      </c>
      <c r="AS14" s="361"/>
      <c r="AT14" s="361"/>
      <c r="AU14" s="344"/>
      <c r="AV14" s="344"/>
      <c r="AW14" s="352"/>
      <c r="AX14" s="344"/>
    </row>
    <row r="15" spans="1:50" ht="17.25">
      <c r="A15" s="284" t="s">
        <v>215</v>
      </c>
      <c r="B15" s="349"/>
      <c r="C15" s="342"/>
      <c r="D15" s="1084"/>
      <c r="E15" s="342"/>
      <c r="F15" s="576"/>
      <c r="G15" s="352"/>
      <c r="H15" s="344"/>
      <c r="I15" s="344"/>
      <c r="J15" s="344"/>
      <c r="K15" s="344"/>
      <c r="L15" s="344"/>
      <c r="M15" s="355"/>
      <c r="N15" s="355"/>
      <c r="O15" s="344"/>
      <c r="P15" s="344"/>
      <c r="Q15" s="358"/>
      <c r="R15" s="358"/>
      <c r="S15" s="344"/>
      <c r="T15" s="344"/>
      <c r="U15" s="344"/>
      <c r="V15" s="344"/>
      <c r="W15" s="344"/>
      <c r="X15" s="344"/>
      <c r="Y15" s="344"/>
      <c r="Z15" s="344"/>
      <c r="AA15" s="360"/>
      <c r="AB15" s="360"/>
      <c r="AC15" s="344"/>
      <c r="AD15" s="344"/>
      <c r="AE15" s="362"/>
      <c r="AF15" s="362"/>
      <c r="AG15" s="344"/>
      <c r="AH15" s="344"/>
      <c r="AI15" s="344"/>
      <c r="AJ15" s="344"/>
      <c r="AK15" s="344"/>
      <c r="AL15" s="344"/>
      <c r="AM15" s="363"/>
      <c r="AN15" s="363"/>
      <c r="AO15" s="1088"/>
      <c r="AP15" s="1088"/>
      <c r="AQ15" s="364">
        <v>-43080</v>
      </c>
      <c r="AR15" s="364">
        <v>13037</v>
      </c>
      <c r="AS15" s="361">
        <v>192012</v>
      </c>
      <c r="AT15" s="361">
        <v>-1012860</v>
      </c>
      <c r="AU15" s="344"/>
      <c r="AV15" s="344"/>
      <c r="AW15" s="352"/>
      <c r="AX15" s="344"/>
    </row>
    <row r="16" spans="1:50" ht="16.5">
      <c r="A16" s="345" t="s">
        <v>158</v>
      </c>
      <c r="B16" s="349"/>
      <c r="C16" s="341"/>
      <c r="D16" s="1083"/>
      <c r="E16" s="341"/>
      <c r="F16" s="575"/>
      <c r="G16" s="351"/>
      <c r="H16" s="343"/>
      <c r="I16" s="343"/>
      <c r="J16" s="343"/>
      <c r="K16" s="343"/>
      <c r="L16" s="343"/>
      <c r="M16" s="354"/>
      <c r="N16" s="354"/>
      <c r="O16" s="343"/>
      <c r="P16" s="343"/>
      <c r="Q16" s="357"/>
      <c r="R16" s="357"/>
      <c r="S16" s="343"/>
      <c r="T16" s="343"/>
      <c r="U16" s="343"/>
      <c r="V16" s="343"/>
      <c r="W16" s="343"/>
      <c r="X16" s="343"/>
      <c r="Y16" s="343"/>
      <c r="Z16" s="343"/>
      <c r="AA16" s="360"/>
      <c r="AB16" s="360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63"/>
      <c r="AN16" s="363"/>
      <c r="AO16" s="1089"/>
      <c r="AP16" s="1089"/>
      <c r="AQ16" s="364"/>
      <c r="AR16" s="364"/>
      <c r="AS16" s="361"/>
      <c r="AT16" s="361"/>
      <c r="AU16" s="343"/>
      <c r="AV16" s="343"/>
      <c r="AW16" s="351"/>
      <c r="AX16" s="343"/>
    </row>
    <row r="17" spans="1:50" ht="16.5">
      <c r="A17" s="284" t="s">
        <v>159</v>
      </c>
      <c r="B17" s="349"/>
      <c r="C17" s="341">
        <v>744054</v>
      </c>
      <c r="D17" s="1083">
        <v>1944898</v>
      </c>
      <c r="E17" s="341">
        <v>242236</v>
      </c>
      <c r="F17" s="575">
        <v>675439</v>
      </c>
      <c r="G17" s="351">
        <v>90038</v>
      </c>
      <c r="H17" s="343">
        <v>203323</v>
      </c>
      <c r="I17" s="343">
        <v>311</v>
      </c>
      <c r="J17" s="343">
        <v>589814</v>
      </c>
      <c r="K17" s="343"/>
      <c r="L17" s="343"/>
      <c r="M17" s="354">
        <v>10874</v>
      </c>
      <c r="N17" s="354">
        <v>60283</v>
      </c>
      <c r="O17" s="343">
        <v>-226357</v>
      </c>
      <c r="P17" s="343">
        <v>27045</v>
      </c>
      <c r="Q17" s="357">
        <v>810912</v>
      </c>
      <c r="R17" s="357">
        <v>2230603</v>
      </c>
      <c r="S17" s="343">
        <v>743719</v>
      </c>
      <c r="T17" s="343">
        <v>1827528</v>
      </c>
      <c r="U17" s="343">
        <v>168231</v>
      </c>
      <c r="V17" s="343">
        <v>681531</v>
      </c>
      <c r="W17" s="343">
        <v>88251</v>
      </c>
      <c r="X17" s="343">
        <v>299551</v>
      </c>
      <c r="Y17" s="343">
        <v>2341659</v>
      </c>
      <c r="Z17" s="343">
        <v>7021542</v>
      </c>
      <c r="AA17" s="360"/>
      <c r="AB17" s="360"/>
      <c r="AC17" s="343">
        <v>17364</v>
      </c>
      <c r="AD17" s="343">
        <v>663692</v>
      </c>
      <c r="AE17" s="343"/>
      <c r="AF17" s="343">
        <v>170463</v>
      </c>
      <c r="AG17" s="343">
        <v>-202699</v>
      </c>
      <c r="AH17" s="343">
        <v>90053</v>
      </c>
      <c r="AI17" s="343">
        <v>-5123</v>
      </c>
      <c r="AJ17" s="343">
        <v>242379</v>
      </c>
      <c r="AK17" s="343"/>
      <c r="AL17" s="343">
        <v>277992</v>
      </c>
      <c r="AM17" s="363"/>
      <c r="AN17" s="363"/>
      <c r="AO17" s="1089"/>
      <c r="AP17" s="1089"/>
      <c r="AQ17" s="364">
        <v>-503</v>
      </c>
      <c r="AR17" s="364"/>
      <c r="AS17" s="361"/>
      <c r="AT17" s="361"/>
      <c r="AU17" s="343">
        <v>459940</v>
      </c>
      <c r="AV17" s="343">
        <v>1900759</v>
      </c>
      <c r="AW17" s="351">
        <f>-1027588+2078311</f>
        <v>1050723</v>
      </c>
      <c r="AX17" s="343">
        <f>-1039656+13087996</f>
        <v>12048340</v>
      </c>
    </row>
    <row r="18" spans="1:50" ht="16.5">
      <c r="A18" s="284" t="s">
        <v>160</v>
      </c>
      <c r="B18" s="349"/>
      <c r="C18" s="341"/>
      <c r="D18" s="1083"/>
      <c r="E18" s="341"/>
      <c r="F18" s="575"/>
      <c r="G18" s="351"/>
      <c r="H18" s="343"/>
      <c r="I18" s="343">
        <v>71929</v>
      </c>
      <c r="J18" s="343">
        <v>179096</v>
      </c>
      <c r="K18" s="343"/>
      <c r="L18" s="343"/>
      <c r="M18" s="354"/>
      <c r="N18" s="354"/>
      <c r="O18" s="343"/>
      <c r="P18" s="343"/>
      <c r="Q18" s="357">
        <v>347</v>
      </c>
      <c r="R18" s="357">
        <v>1070</v>
      </c>
      <c r="S18" s="343"/>
      <c r="T18" s="343"/>
      <c r="U18" s="343"/>
      <c r="V18" s="343"/>
      <c r="W18" s="343">
        <v>98842</v>
      </c>
      <c r="X18" s="343">
        <v>288466</v>
      </c>
      <c r="Y18" s="343">
        <v>124866</v>
      </c>
      <c r="Z18" s="343">
        <v>308241</v>
      </c>
      <c r="AA18" s="360"/>
      <c r="AB18" s="360"/>
      <c r="AC18" s="343"/>
      <c r="AD18" s="343"/>
      <c r="AE18" s="343">
        <v>5008</v>
      </c>
      <c r="AF18" s="343">
        <v>13226</v>
      </c>
      <c r="AG18" s="343"/>
      <c r="AH18" s="343"/>
      <c r="AI18" s="343"/>
      <c r="AJ18" s="343"/>
      <c r="AK18" s="343"/>
      <c r="AL18" s="343"/>
      <c r="AM18" s="363"/>
      <c r="AN18" s="363"/>
      <c r="AO18" s="1088">
        <v>54427</v>
      </c>
      <c r="AP18" s="1088">
        <v>153054</v>
      </c>
      <c r="AQ18" s="364"/>
      <c r="AR18" s="364"/>
      <c r="AS18" s="361"/>
      <c r="AT18" s="361"/>
      <c r="AU18" s="343"/>
      <c r="AV18" s="343"/>
      <c r="AW18" s="351"/>
      <c r="AX18" s="343"/>
    </row>
    <row r="19" spans="1:50" ht="16.5">
      <c r="A19" s="284" t="s">
        <v>161</v>
      </c>
      <c r="B19" s="349"/>
      <c r="C19" s="341">
        <v>95657</v>
      </c>
      <c r="D19" s="1083">
        <v>337405</v>
      </c>
      <c r="E19" s="341">
        <f>340+2796</f>
        <v>3136</v>
      </c>
      <c r="F19" s="575">
        <f>769+2797</f>
        <v>3566</v>
      </c>
      <c r="G19" s="351">
        <f>12389+1353</f>
        <v>13742</v>
      </c>
      <c r="H19" s="343">
        <f>31021+8637</f>
        <v>39658</v>
      </c>
      <c r="I19" s="343">
        <v>124972</v>
      </c>
      <c r="J19" s="343">
        <v>371657</v>
      </c>
      <c r="K19" s="343">
        <f>4167-20595</f>
        <v>-16428</v>
      </c>
      <c r="L19" s="343">
        <f>13421-16457</f>
        <v>-3036</v>
      </c>
      <c r="M19" s="354">
        <v>22983</v>
      </c>
      <c r="N19" s="354">
        <v>64604</v>
      </c>
      <c r="O19" s="343">
        <v>6650</v>
      </c>
      <c r="P19" s="343">
        <f>16478+146610</f>
        <v>163088</v>
      </c>
      <c r="Q19" s="357">
        <v>2132</v>
      </c>
      <c r="R19" s="357">
        <v>8757</v>
      </c>
      <c r="S19" s="343">
        <v>13459</v>
      </c>
      <c r="T19" s="343">
        <v>42853</v>
      </c>
      <c r="U19" s="343">
        <f>6098+35</f>
        <v>6133</v>
      </c>
      <c r="V19" s="343">
        <f>17737-239</f>
        <v>17498</v>
      </c>
      <c r="W19" s="343">
        <v>431558</v>
      </c>
      <c r="X19" s="343">
        <v>1057948</v>
      </c>
      <c r="Y19" s="343">
        <f>110126+2590</f>
        <v>112716</v>
      </c>
      <c r="Z19" s="343">
        <f>266418+9793</f>
        <v>276211</v>
      </c>
      <c r="AA19" s="360">
        <v>203</v>
      </c>
      <c r="AB19" s="360">
        <v>1338</v>
      </c>
      <c r="AC19" s="343">
        <v>6768</v>
      </c>
      <c r="AD19" s="343">
        <v>16878</v>
      </c>
      <c r="AE19" s="343">
        <f>2904-967</f>
        <v>1937</v>
      </c>
      <c r="AF19" s="343">
        <f>6770+1811</f>
        <v>8581</v>
      </c>
      <c r="AG19" s="343">
        <v>108036</v>
      </c>
      <c r="AH19" s="343">
        <v>329208</v>
      </c>
      <c r="AI19" s="343">
        <f>12108+37010+146</f>
        <v>49264</v>
      </c>
      <c r="AJ19" s="343">
        <f>40382+129208-5708</f>
        <v>163882</v>
      </c>
      <c r="AK19" s="343">
        <v>30195</v>
      </c>
      <c r="AL19" s="343">
        <v>81367</v>
      </c>
      <c r="AM19" s="363"/>
      <c r="AN19" s="363"/>
      <c r="AO19" s="1088">
        <v>58333</v>
      </c>
      <c r="AP19" s="1088">
        <v>176100</v>
      </c>
      <c r="AQ19" s="364">
        <v>17223</v>
      </c>
      <c r="AR19" s="364">
        <v>53958</v>
      </c>
      <c r="AS19" s="361">
        <v>5189</v>
      </c>
      <c r="AT19" s="361">
        <v>20831</v>
      </c>
      <c r="AU19" s="343">
        <f>10826+90156-506+296+72069</f>
        <v>172841</v>
      </c>
      <c r="AV19" s="343">
        <f>30063+257267-385+1679+257945</f>
        <v>546569</v>
      </c>
      <c r="AW19" s="351"/>
      <c r="AX19" s="343"/>
    </row>
    <row r="20" spans="1:50" s="645" customFormat="1" ht="18">
      <c r="A20" s="634" t="s">
        <v>20</v>
      </c>
      <c r="B20" s="635"/>
      <c r="C20" s="636">
        <v>32926089</v>
      </c>
      <c r="D20" s="1085">
        <v>77124883</v>
      </c>
      <c r="E20" s="636"/>
      <c r="F20" s="637"/>
      <c r="G20" s="639">
        <v>5083832</v>
      </c>
      <c r="H20" s="638">
        <v>11686112</v>
      </c>
      <c r="I20" s="638">
        <v>37299683</v>
      </c>
      <c r="J20" s="638">
        <v>90858567</v>
      </c>
      <c r="K20" s="638">
        <v>6890076</v>
      </c>
      <c r="L20" s="638">
        <v>18837450</v>
      </c>
      <c r="M20" s="640"/>
      <c r="N20" s="640"/>
      <c r="O20" s="638">
        <v>3535465</v>
      </c>
      <c r="P20" s="638">
        <v>11508414</v>
      </c>
      <c r="Q20" s="641">
        <v>3830314</v>
      </c>
      <c r="R20" s="641">
        <v>9925916</v>
      </c>
      <c r="S20" s="638">
        <v>11382396</v>
      </c>
      <c r="T20" s="638">
        <v>30898360</v>
      </c>
      <c r="U20" s="638">
        <v>4425849</v>
      </c>
      <c r="V20" s="638">
        <v>11920232</v>
      </c>
      <c r="W20" s="638">
        <v>118487204</v>
      </c>
      <c r="X20" s="638">
        <v>288427898</v>
      </c>
      <c r="Y20" s="638">
        <v>129466181</v>
      </c>
      <c r="Z20" s="638">
        <v>295877785</v>
      </c>
      <c r="AA20" s="656">
        <v>6603910</v>
      </c>
      <c r="AB20" s="656">
        <v>16776957</v>
      </c>
      <c r="AC20" s="638">
        <v>10822274</v>
      </c>
      <c r="AD20" s="638">
        <v>30362981</v>
      </c>
      <c r="AE20" s="638">
        <v>35958719</v>
      </c>
      <c r="AF20" s="638">
        <v>85412400</v>
      </c>
      <c r="AG20" s="638">
        <v>52864148</v>
      </c>
      <c r="AH20" s="638">
        <v>138550450</v>
      </c>
      <c r="AI20" s="638">
        <v>18362277</v>
      </c>
      <c r="AJ20" s="638">
        <v>46438920</v>
      </c>
      <c r="AK20" s="638">
        <v>14123401</v>
      </c>
      <c r="AL20" s="638">
        <v>40694473</v>
      </c>
      <c r="AM20" s="643"/>
      <c r="AN20" s="643"/>
      <c r="AO20" s="1090">
        <v>157790407</v>
      </c>
      <c r="AP20" s="1090">
        <v>381679308</v>
      </c>
      <c r="AQ20" s="644">
        <v>5433791</v>
      </c>
      <c r="AR20" s="644">
        <v>13577937</v>
      </c>
      <c r="AS20" s="642">
        <v>8793910</v>
      </c>
      <c r="AT20" s="642">
        <v>20462886</v>
      </c>
      <c r="AU20" s="638">
        <v>29994977</v>
      </c>
      <c r="AV20" s="638">
        <v>73604841</v>
      </c>
      <c r="AW20" s="657">
        <v>1580528410</v>
      </c>
      <c r="AX20" s="658">
        <v>4550701246</v>
      </c>
    </row>
    <row r="21" spans="1:50" ht="16.5">
      <c r="A21" s="284" t="s">
        <v>60</v>
      </c>
      <c r="B21" s="345" t="s">
        <v>162</v>
      </c>
      <c r="C21" s="341">
        <v>1247350</v>
      </c>
      <c r="D21" s="1083">
        <v>3093865</v>
      </c>
      <c r="E21" s="341">
        <v>10489</v>
      </c>
      <c r="F21" s="575">
        <v>28864</v>
      </c>
      <c r="G21" s="351">
        <v>143785</v>
      </c>
      <c r="H21" s="343">
        <v>143785</v>
      </c>
      <c r="I21" s="343">
        <v>1077786</v>
      </c>
      <c r="J21" s="343">
        <v>2518072</v>
      </c>
      <c r="K21" s="343">
        <v>481566</v>
      </c>
      <c r="L21" s="343">
        <v>1298423</v>
      </c>
      <c r="M21" s="354">
        <v>630908</v>
      </c>
      <c r="N21" s="354">
        <v>1585085</v>
      </c>
      <c r="O21" s="343">
        <v>105057</v>
      </c>
      <c r="P21" s="343">
        <v>305377</v>
      </c>
      <c r="Q21" s="357">
        <v>204423</v>
      </c>
      <c r="R21" s="357">
        <v>498423</v>
      </c>
      <c r="S21" s="343">
        <v>507718</v>
      </c>
      <c r="T21" s="343">
        <v>1380051</v>
      </c>
      <c r="U21" s="343">
        <v>126683</v>
      </c>
      <c r="V21" s="343">
        <v>338062</v>
      </c>
      <c r="W21" s="343">
        <v>3519497</v>
      </c>
      <c r="X21" s="343">
        <v>10387188</v>
      </c>
      <c r="Y21" s="343">
        <v>4276708</v>
      </c>
      <c r="Z21" s="343">
        <v>10870195</v>
      </c>
      <c r="AA21" s="360">
        <v>179171</v>
      </c>
      <c r="AB21" s="360">
        <v>542021</v>
      </c>
      <c r="AC21" s="343">
        <v>426373</v>
      </c>
      <c r="AD21" s="343">
        <v>1005207</v>
      </c>
      <c r="AE21" s="343">
        <v>1389673</v>
      </c>
      <c r="AF21" s="343">
        <v>3198843</v>
      </c>
      <c r="AG21" s="343">
        <v>2492685</v>
      </c>
      <c r="AH21" s="343">
        <v>6589078</v>
      </c>
      <c r="AI21" s="343">
        <v>753051</v>
      </c>
      <c r="AJ21" s="343">
        <v>1905421</v>
      </c>
      <c r="AK21" s="343">
        <v>442652</v>
      </c>
      <c r="AL21" s="343">
        <v>1310061</v>
      </c>
      <c r="AM21" s="363"/>
      <c r="AN21" s="363"/>
      <c r="AO21" s="1088">
        <v>4552155</v>
      </c>
      <c r="AP21" s="1088">
        <v>11128205</v>
      </c>
      <c r="AQ21" s="364">
        <v>289788</v>
      </c>
      <c r="AR21" s="364">
        <v>736873</v>
      </c>
      <c r="AS21" s="361">
        <v>414520</v>
      </c>
      <c r="AT21" s="361">
        <v>1077599</v>
      </c>
      <c r="AU21" s="343">
        <v>2284562</v>
      </c>
      <c r="AV21" s="343">
        <v>5419592</v>
      </c>
      <c r="AW21" s="583">
        <v>56652453</v>
      </c>
      <c r="AX21" s="361">
        <v>142788462</v>
      </c>
    </row>
    <row r="22" spans="1:50" ht="16.5">
      <c r="A22" s="284" t="s">
        <v>163</v>
      </c>
      <c r="B22" s="345" t="s">
        <v>164</v>
      </c>
      <c r="C22" s="341">
        <v>3167988</v>
      </c>
      <c r="D22" s="1083">
        <v>9335303</v>
      </c>
      <c r="E22" s="341">
        <v>573708</v>
      </c>
      <c r="F22" s="575">
        <v>1676702</v>
      </c>
      <c r="G22" s="351">
        <v>755260</v>
      </c>
      <c r="H22" s="343">
        <v>2217771</v>
      </c>
      <c r="I22" s="343">
        <v>4333885</v>
      </c>
      <c r="J22" s="343">
        <v>13263012</v>
      </c>
      <c r="K22" s="343">
        <v>1854802</v>
      </c>
      <c r="L22" s="343">
        <v>5714830</v>
      </c>
      <c r="M22" s="354">
        <v>1392485</v>
      </c>
      <c r="N22" s="354">
        <v>3742683</v>
      </c>
      <c r="O22" s="343">
        <v>866709</v>
      </c>
      <c r="P22" s="343">
        <v>2538843</v>
      </c>
      <c r="Q22" s="357">
        <v>1443911</v>
      </c>
      <c r="R22" s="357">
        <v>4002510</v>
      </c>
      <c r="S22" s="343">
        <v>2154246</v>
      </c>
      <c r="T22" s="343">
        <v>6085592</v>
      </c>
      <c r="U22" s="343">
        <v>1514279</v>
      </c>
      <c r="V22" s="343">
        <v>4524684</v>
      </c>
      <c r="W22" s="343">
        <v>10599729</v>
      </c>
      <c r="X22" s="343">
        <v>30372273</v>
      </c>
      <c r="Y22" s="343">
        <v>7661683</v>
      </c>
      <c r="Z22" s="343">
        <v>21661609</v>
      </c>
      <c r="AA22" s="360">
        <v>642130</v>
      </c>
      <c r="AB22" s="360">
        <v>1855958</v>
      </c>
      <c r="AC22" s="343">
        <v>1283517</v>
      </c>
      <c r="AD22" s="343">
        <v>3366853</v>
      </c>
      <c r="AE22" s="343">
        <v>3928835</v>
      </c>
      <c r="AF22" s="343">
        <v>11097657</v>
      </c>
      <c r="AG22" s="343">
        <v>6043210</v>
      </c>
      <c r="AH22" s="343">
        <v>16751000</v>
      </c>
      <c r="AI22" s="343">
        <v>2259575</v>
      </c>
      <c r="AJ22" s="343">
        <v>6756217</v>
      </c>
      <c r="AK22" s="343">
        <v>2439432</v>
      </c>
      <c r="AL22" s="343">
        <v>7746361</v>
      </c>
      <c r="AM22" s="363"/>
      <c r="AN22" s="363"/>
      <c r="AO22" s="1088">
        <v>6418772</v>
      </c>
      <c r="AP22" s="1088">
        <v>17452933</v>
      </c>
      <c r="AQ22" s="364">
        <v>1401067</v>
      </c>
      <c r="AR22" s="364">
        <v>3645782</v>
      </c>
      <c r="AS22" s="361">
        <v>924720</v>
      </c>
      <c r="AT22" s="361">
        <v>2655249</v>
      </c>
      <c r="AU22" s="343">
        <v>3886705</v>
      </c>
      <c r="AV22" s="343">
        <v>11270724</v>
      </c>
      <c r="AW22" s="583">
        <v>74336285</v>
      </c>
      <c r="AX22" s="361">
        <v>229050297</v>
      </c>
    </row>
    <row r="23" spans="1:50" ht="16.5">
      <c r="A23" s="284" t="s">
        <v>210</v>
      </c>
      <c r="B23" s="345"/>
      <c r="C23" s="341"/>
      <c r="D23" s="1083"/>
      <c r="E23" s="341"/>
      <c r="F23" s="575"/>
      <c r="G23" s="351"/>
      <c r="H23" s="343"/>
      <c r="I23" s="343"/>
      <c r="J23" s="343"/>
      <c r="K23" s="343"/>
      <c r="L23" s="343"/>
      <c r="M23" s="354"/>
      <c r="N23" s="354"/>
      <c r="O23" s="343">
        <v>-199523</v>
      </c>
      <c r="P23" s="343">
        <v>-448152</v>
      </c>
      <c r="Q23" s="357"/>
      <c r="R23" s="357"/>
      <c r="S23" s="343"/>
      <c r="T23" s="343"/>
      <c r="U23" s="343"/>
      <c r="V23" s="343"/>
      <c r="W23" s="343"/>
      <c r="X23" s="343"/>
      <c r="Y23" s="343"/>
      <c r="Z23" s="343"/>
      <c r="AA23" s="360"/>
      <c r="AB23" s="360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63"/>
      <c r="AN23" s="363"/>
      <c r="AO23" s="1088"/>
      <c r="AP23" s="1088"/>
      <c r="AQ23" s="364"/>
      <c r="AR23" s="364"/>
      <c r="AS23" s="361"/>
      <c r="AT23" s="361"/>
      <c r="AU23" s="343"/>
      <c r="AV23" s="343"/>
      <c r="AW23" s="583"/>
      <c r="AX23" s="361"/>
    </row>
    <row r="24" spans="1:50" ht="16.5">
      <c r="A24" s="284" t="s">
        <v>165</v>
      </c>
      <c r="B24" s="349"/>
      <c r="C24" s="341">
        <v>33</v>
      </c>
      <c r="D24" s="1083">
        <v>1308</v>
      </c>
      <c r="E24" s="341">
        <v>28</v>
      </c>
      <c r="F24" s="575">
        <v>-5109</v>
      </c>
      <c r="G24" s="351">
        <v>-1232</v>
      </c>
      <c r="H24" s="343">
        <v>-161405</v>
      </c>
      <c r="I24" s="343">
        <v>1953</v>
      </c>
      <c r="J24" s="343">
        <v>14751</v>
      </c>
      <c r="K24" s="343">
        <v>1501</v>
      </c>
      <c r="L24" s="343">
        <v>1773</v>
      </c>
      <c r="M24" s="354"/>
      <c r="N24" s="354">
        <v>209</v>
      </c>
      <c r="O24" s="343"/>
      <c r="P24" s="343"/>
      <c r="Q24" s="357">
        <v>2939</v>
      </c>
      <c r="R24" s="357">
        <v>4363</v>
      </c>
      <c r="S24" s="343"/>
      <c r="T24" s="343"/>
      <c r="U24" s="343">
        <v>2198</v>
      </c>
      <c r="V24" s="343">
        <v>9413</v>
      </c>
      <c r="W24" s="343"/>
      <c r="X24" s="343"/>
      <c r="Y24" s="343">
        <v>2354</v>
      </c>
      <c r="Z24" s="343">
        <v>-6756</v>
      </c>
      <c r="AA24" s="360">
        <v>-1226</v>
      </c>
      <c r="AB24" s="360">
        <v>-1100</v>
      </c>
      <c r="AC24" s="343"/>
      <c r="AD24" s="343"/>
      <c r="AE24" s="343"/>
      <c r="AF24" s="343"/>
      <c r="AG24" s="343">
        <v>7939</v>
      </c>
      <c r="AH24" s="343">
        <v>6574</v>
      </c>
      <c r="AI24" s="343"/>
      <c r="AJ24" s="343"/>
      <c r="AK24" s="343"/>
      <c r="AL24" s="343"/>
      <c r="AM24" s="363"/>
      <c r="AN24" s="363"/>
      <c r="AO24" s="1088">
        <v>-19</v>
      </c>
      <c r="AP24" s="1088">
        <v>3039</v>
      </c>
      <c r="AQ24" s="364"/>
      <c r="AR24" s="364"/>
      <c r="AS24" s="361">
        <v>271</v>
      </c>
      <c r="AT24" s="361">
        <v>1632</v>
      </c>
      <c r="AU24" s="343"/>
      <c r="AV24" s="343"/>
      <c r="AW24" s="583">
        <v>-2648848</v>
      </c>
      <c r="AX24" s="361">
        <v>1183056</v>
      </c>
    </row>
    <row r="25" spans="1:50" ht="17.25">
      <c r="A25" s="284" t="s">
        <v>166</v>
      </c>
      <c r="B25" s="349"/>
      <c r="C25" s="342"/>
      <c r="D25" s="1084"/>
      <c r="E25" s="342"/>
      <c r="F25" s="576"/>
      <c r="G25" s="352"/>
      <c r="H25" s="344"/>
      <c r="I25" s="344"/>
      <c r="J25" s="344">
        <v>10898</v>
      </c>
      <c r="K25" s="344">
        <v>-180</v>
      </c>
      <c r="L25" s="344">
        <v>18370</v>
      </c>
      <c r="M25" s="355"/>
      <c r="N25" s="355"/>
      <c r="O25" s="344"/>
      <c r="P25" s="344"/>
      <c r="Q25" s="358"/>
      <c r="R25" s="358"/>
      <c r="S25" s="344"/>
      <c r="T25" s="344"/>
      <c r="U25" s="344">
        <v>-38</v>
      </c>
      <c r="V25" s="344">
        <v>-38</v>
      </c>
      <c r="W25" s="344"/>
      <c r="X25" s="344"/>
      <c r="Y25" s="344">
        <v>3474</v>
      </c>
      <c r="Z25" s="344">
        <v>21868</v>
      </c>
      <c r="AA25" s="360">
        <v>1366</v>
      </c>
      <c r="AB25" s="360">
        <v>1366</v>
      </c>
      <c r="AC25" s="344"/>
      <c r="AD25" s="344"/>
      <c r="AE25" s="362"/>
      <c r="AF25" s="362"/>
      <c r="AG25" s="344"/>
      <c r="AH25" s="344">
        <v>12579</v>
      </c>
      <c r="AI25" s="344"/>
      <c r="AJ25" s="344"/>
      <c r="AK25" s="344"/>
      <c r="AL25" s="344"/>
      <c r="AM25" s="363"/>
      <c r="AN25" s="363"/>
      <c r="AO25" s="1091">
        <v>728</v>
      </c>
      <c r="AP25" s="1091">
        <v>1728</v>
      </c>
      <c r="AQ25" s="364"/>
      <c r="AR25" s="364"/>
      <c r="AS25" s="361">
        <v>829</v>
      </c>
      <c r="AT25" s="361">
        <v>1252</v>
      </c>
      <c r="AU25" s="344"/>
      <c r="AV25" s="344"/>
      <c r="AW25" s="352"/>
      <c r="AX25" s="344"/>
    </row>
    <row r="26" spans="1:50" ht="16.5">
      <c r="A26" s="284" t="s">
        <v>167</v>
      </c>
      <c r="B26" s="349"/>
      <c r="C26" s="341"/>
      <c r="D26" s="1083"/>
      <c r="E26" s="341"/>
      <c r="F26" s="575"/>
      <c r="G26" s="351"/>
      <c r="H26" s="343"/>
      <c r="I26" s="343"/>
      <c r="J26" s="343"/>
      <c r="K26" s="343"/>
      <c r="L26" s="343"/>
      <c r="M26" s="354"/>
      <c r="N26" s="354"/>
      <c r="O26" s="343"/>
      <c r="P26" s="343"/>
      <c r="Q26" s="357"/>
      <c r="R26" s="357"/>
      <c r="S26" s="343"/>
      <c r="T26" s="343"/>
      <c r="U26" s="343"/>
      <c r="V26" s="343"/>
      <c r="W26" s="343">
        <v>463868</v>
      </c>
      <c r="X26" s="343">
        <v>268564</v>
      </c>
      <c r="Y26" s="343"/>
      <c r="Z26" s="343"/>
      <c r="AA26" s="360"/>
      <c r="AB26" s="360"/>
      <c r="AC26" s="343"/>
      <c r="AD26" s="343"/>
      <c r="AE26" s="343">
        <v>234074</v>
      </c>
      <c r="AF26" s="343">
        <v>565626</v>
      </c>
      <c r="AG26" s="343"/>
      <c r="AH26" s="343"/>
      <c r="AI26" s="343">
        <v>57563</v>
      </c>
      <c r="AJ26" s="343">
        <v>252164</v>
      </c>
      <c r="AK26" s="343"/>
      <c r="AL26" s="343"/>
      <c r="AM26" s="363"/>
      <c r="AN26" s="363"/>
      <c r="AO26" s="1089"/>
      <c r="AP26" s="1089"/>
      <c r="AQ26" s="364">
        <v>16940</v>
      </c>
      <c r="AR26" s="364">
        <v>183576</v>
      </c>
      <c r="AS26" s="361">
        <v>59068</v>
      </c>
      <c r="AT26" s="361">
        <v>76647</v>
      </c>
      <c r="AU26" s="343">
        <v>-152779</v>
      </c>
      <c r="AV26" s="343">
        <v>-549499</v>
      </c>
      <c r="AW26" s="583">
        <v>29402250</v>
      </c>
      <c r="AX26" s="361">
        <v>63590787</v>
      </c>
    </row>
    <row r="27" spans="1:50" ht="16.5">
      <c r="A27" s="284" t="s">
        <v>168</v>
      </c>
      <c r="B27" s="349"/>
      <c r="C27" s="341">
        <v>61094</v>
      </c>
      <c r="D27" s="1083">
        <v>181597</v>
      </c>
      <c r="E27" s="341"/>
      <c r="F27" s="575"/>
      <c r="G27" s="351"/>
      <c r="H27" s="343"/>
      <c r="I27" s="343"/>
      <c r="J27" s="343"/>
      <c r="K27" s="343"/>
      <c r="L27" s="343"/>
      <c r="M27" s="354"/>
      <c r="N27" s="354"/>
      <c r="O27" s="343"/>
      <c r="P27" s="343"/>
      <c r="Q27" s="357"/>
      <c r="R27" s="357"/>
      <c r="S27" s="343"/>
      <c r="T27" s="343"/>
      <c r="U27" s="343"/>
      <c r="V27" s="343"/>
      <c r="W27" s="343"/>
      <c r="X27" s="343"/>
      <c r="Y27" s="343"/>
      <c r="Z27" s="343"/>
      <c r="AA27" s="360"/>
      <c r="AB27" s="360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63"/>
      <c r="AN27" s="363"/>
      <c r="AO27" s="1088">
        <v>741680</v>
      </c>
      <c r="AP27" s="1088">
        <v>3109859</v>
      </c>
      <c r="AQ27" s="364"/>
      <c r="AR27" s="364"/>
      <c r="AS27" s="361"/>
      <c r="AT27" s="361"/>
      <c r="AU27" s="343"/>
      <c r="AV27" s="343"/>
      <c r="AW27" s="583"/>
      <c r="AX27" s="361"/>
    </row>
    <row r="28" spans="1:50" ht="16.5">
      <c r="A28" s="284" t="s">
        <v>169</v>
      </c>
      <c r="B28" s="349"/>
      <c r="C28" s="341"/>
      <c r="D28" s="1083"/>
      <c r="E28" s="341"/>
      <c r="F28" s="575"/>
      <c r="G28" s="351"/>
      <c r="H28" s="343"/>
      <c r="I28" s="343">
        <v>5651</v>
      </c>
      <c r="J28" s="343"/>
      <c r="K28" s="343"/>
      <c r="L28" s="343"/>
      <c r="M28" s="354"/>
      <c r="N28" s="354"/>
      <c r="O28" s="343"/>
      <c r="P28" s="343"/>
      <c r="Q28" s="357"/>
      <c r="R28" s="357"/>
      <c r="S28" s="343"/>
      <c r="T28" s="343"/>
      <c r="U28" s="343"/>
      <c r="V28" s="343"/>
      <c r="W28" s="343"/>
      <c r="X28" s="343"/>
      <c r="Y28" s="343"/>
      <c r="Z28" s="343"/>
      <c r="AA28" s="360"/>
      <c r="AB28" s="360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63"/>
      <c r="AN28" s="363"/>
      <c r="AO28" s="1089"/>
      <c r="AP28" s="1089"/>
      <c r="AQ28" s="364"/>
      <c r="AR28" s="364"/>
      <c r="AS28" s="361"/>
      <c r="AT28" s="361"/>
      <c r="AU28" s="343"/>
      <c r="AV28" s="343"/>
      <c r="AW28" s="583"/>
      <c r="AX28" s="361"/>
    </row>
    <row r="29" spans="1:50" ht="16.5">
      <c r="A29" s="284" t="s">
        <v>170</v>
      </c>
      <c r="B29" s="349"/>
      <c r="C29" s="341"/>
      <c r="D29" s="1083"/>
      <c r="E29" s="341"/>
      <c r="F29" s="575"/>
      <c r="G29" s="351">
        <v>116988</v>
      </c>
      <c r="H29" s="343">
        <v>264968</v>
      </c>
      <c r="I29" s="343"/>
      <c r="J29" s="343">
        <v>840128</v>
      </c>
      <c r="K29" s="343">
        <v>75000</v>
      </c>
      <c r="L29" s="343">
        <v>117000</v>
      </c>
      <c r="M29" s="354"/>
      <c r="N29" s="354"/>
      <c r="O29" s="343">
        <v>22000</v>
      </c>
      <c r="P29" s="343">
        <v>371211</v>
      </c>
      <c r="Q29" s="357">
        <v>12682</v>
      </c>
      <c r="R29" s="357">
        <v>76685</v>
      </c>
      <c r="S29" s="343">
        <v>86500</v>
      </c>
      <c r="T29" s="343">
        <v>86500</v>
      </c>
      <c r="U29" s="343"/>
      <c r="V29" s="343"/>
      <c r="W29" s="343">
        <v>488045</v>
      </c>
      <c r="X29" s="343">
        <v>1554035</v>
      </c>
      <c r="Y29" s="343"/>
      <c r="Z29" s="343">
        <v>1399277</v>
      </c>
      <c r="AA29" s="360">
        <v>8008</v>
      </c>
      <c r="AB29" s="360">
        <v>-29197</v>
      </c>
      <c r="AC29" s="343">
        <v>119814</v>
      </c>
      <c r="AD29" s="343">
        <v>638782</v>
      </c>
      <c r="AE29" s="343">
        <v>24631</v>
      </c>
      <c r="AF29" s="343">
        <v>124934</v>
      </c>
      <c r="AG29" s="343"/>
      <c r="AH29" s="343"/>
      <c r="AI29" s="343"/>
      <c r="AJ29" s="343"/>
      <c r="AK29" s="343">
        <v>104366</v>
      </c>
      <c r="AL29" s="343">
        <v>333730</v>
      </c>
      <c r="AM29" s="363"/>
      <c r="AN29" s="363"/>
      <c r="AO29" s="1088">
        <v>-281930</v>
      </c>
      <c r="AP29" s="1088">
        <v>236830</v>
      </c>
      <c r="AQ29" s="364">
        <v>24564</v>
      </c>
      <c r="AR29" s="364">
        <v>197038</v>
      </c>
      <c r="AS29" s="361">
        <v>150840</v>
      </c>
      <c r="AT29" s="361">
        <v>321240</v>
      </c>
      <c r="AU29" s="343"/>
      <c r="AV29" s="343"/>
      <c r="AW29" s="583">
        <v>-1319026</v>
      </c>
      <c r="AX29" s="361">
        <v>6111415</v>
      </c>
    </row>
    <row r="30" spans="1:50" ht="17.25">
      <c r="A30" s="284" t="s">
        <v>171</v>
      </c>
      <c r="B30" s="349"/>
      <c r="C30" s="342">
        <v>852</v>
      </c>
      <c r="D30" s="1084">
        <v>852</v>
      </c>
      <c r="E30" s="342"/>
      <c r="F30" s="576"/>
      <c r="G30" s="352"/>
      <c r="H30" s="344"/>
      <c r="I30" s="344"/>
      <c r="J30" s="344"/>
      <c r="K30" s="344"/>
      <c r="L30" s="344"/>
      <c r="M30" s="355"/>
      <c r="N30" s="355"/>
      <c r="O30" s="344"/>
      <c r="P30" s="344"/>
      <c r="Q30" s="358"/>
      <c r="R30" s="358"/>
      <c r="S30" s="344"/>
      <c r="T30" s="344"/>
      <c r="U30" s="344"/>
      <c r="V30" s="344"/>
      <c r="W30" s="344">
        <v>7702</v>
      </c>
      <c r="X30" s="344">
        <v>361730</v>
      </c>
      <c r="Y30" s="344"/>
      <c r="Z30" s="344"/>
      <c r="AA30" s="360"/>
      <c r="AB30" s="360"/>
      <c r="AC30" s="344"/>
      <c r="AD30" s="344"/>
      <c r="AE30" s="362">
        <v>-423</v>
      </c>
      <c r="AF30" s="362">
        <v>-450</v>
      </c>
      <c r="AG30" s="344"/>
      <c r="AH30" s="344"/>
      <c r="AI30" s="344"/>
      <c r="AJ30" s="344"/>
      <c r="AK30" s="344"/>
      <c r="AL30" s="344"/>
      <c r="AM30" s="363"/>
      <c r="AN30" s="363"/>
      <c r="AO30" s="1091">
        <v>411112</v>
      </c>
      <c r="AP30" s="1091">
        <v>418362</v>
      </c>
      <c r="AQ30" s="364"/>
      <c r="AR30" s="364"/>
      <c r="AS30" s="361"/>
      <c r="AT30" s="361"/>
      <c r="AU30" s="344"/>
      <c r="AV30" s="344"/>
      <c r="AW30" s="352"/>
      <c r="AX30" s="344"/>
    </row>
    <row r="31" spans="1:50" ht="17.25">
      <c r="A31" s="284" t="s">
        <v>240</v>
      </c>
      <c r="B31" s="349"/>
      <c r="C31" s="342">
        <v>-41</v>
      </c>
      <c r="D31" s="1084">
        <v>-122</v>
      </c>
      <c r="E31" s="342"/>
      <c r="F31" s="576"/>
      <c r="G31" s="352"/>
      <c r="H31" s="344"/>
      <c r="I31" s="344">
        <v>5631</v>
      </c>
      <c r="J31" s="344">
        <v>14467</v>
      </c>
      <c r="K31" s="344"/>
      <c r="L31" s="344"/>
      <c r="M31" s="355">
        <v>125000</v>
      </c>
      <c r="N31" s="355">
        <v>312500</v>
      </c>
      <c r="O31" s="344"/>
      <c r="P31" s="344"/>
      <c r="Q31" s="358"/>
      <c r="R31" s="358"/>
      <c r="S31" s="344"/>
      <c r="T31" s="344"/>
      <c r="U31" s="344"/>
      <c r="V31" s="344"/>
      <c r="W31" s="344"/>
      <c r="X31" s="344"/>
      <c r="Y31" s="344"/>
      <c r="Z31" s="344"/>
      <c r="AA31" s="360"/>
      <c r="AB31" s="360"/>
      <c r="AC31" s="344"/>
      <c r="AD31" s="344"/>
      <c r="AE31" s="362"/>
      <c r="AF31" s="362"/>
      <c r="AG31" s="344"/>
      <c r="AH31" s="344"/>
      <c r="AI31" s="344">
        <v>5004</v>
      </c>
      <c r="AJ31" s="344">
        <v>9415</v>
      </c>
      <c r="AK31" s="344"/>
      <c r="AL31" s="344"/>
      <c r="AM31" s="363"/>
      <c r="AN31" s="363"/>
      <c r="AO31" s="1091"/>
      <c r="AP31" s="1091"/>
      <c r="AQ31" s="364"/>
      <c r="AR31" s="364"/>
      <c r="AS31" s="361"/>
      <c r="AT31" s="361"/>
      <c r="AU31" s="344"/>
      <c r="AV31" s="344"/>
      <c r="AW31" s="352">
        <f>-49763+56804794</f>
        <v>56755031</v>
      </c>
      <c r="AX31" s="344">
        <f>-30371+74123421</f>
        <v>74093050</v>
      </c>
    </row>
    <row r="32" spans="1:50" ht="17.25">
      <c r="A32" s="284" t="s">
        <v>172</v>
      </c>
      <c r="B32" s="349"/>
      <c r="C32" s="341">
        <v>282490</v>
      </c>
      <c r="D32" s="1083">
        <v>828339</v>
      </c>
      <c r="E32" s="341">
        <v>9172</v>
      </c>
      <c r="F32" s="575">
        <v>27690</v>
      </c>
      <c r="G32" s="351">
        <v>48705</v>
      </c>
      <c r="H32" s="343">
        <v>123719</v>
      </c>
      <c r="I32" s="343">
        <v>295844</v>
      </c>
      <c r="J32" s="343">
        <v>885316</v>
      </c>
      <c r="K32" s="343">
        <v>10522</v>
      </c>
      <c r="L32" s="343">
        <v>30684</v>
      </c>
      <c r="M32" s="354">
        <v>137970</v>
      </c>
      <c r="N32" s="354">
        <v>409731</v>
      </c>
      <c r="O32" s="343">
        <v>4043</v>
      </c>
      <c r="P32" s="343">
        <v>12433</v>
      </c>
      <c r="Q32" s="357">
        <v>14881</v>
      </c>
      <c r="R32" s="357">
        <v>43147</v>
      </c>
      <c r="S32" s="343">
        <v>13573</v>
      </c>
      <c r="T32" s="343">
        <v>41797</v>
      </c>
      <c r="U32" s="343">
        <v>10381</v>
      </c>
      <c r="V32" s="343">
        <v>30352</v>
      </c>
      <c r="W32" s="343">
        <v>890484</v>
      </c>
      <c r="X32" s="344">
        <v>2602314</v>
      </c>
      <c r="Y32" s="343">
        <v>1680977</v>
      </c>
      <c r="Z32" s="343">
        <v>4838472</v>
      </c>
      <c r="AA32" s="361">
        <v>40873</v>
      </c>
      <c r="AB32" s="361">
        <v>120758</v>
      </c>
      <c r="AC32" s="343">
        <v>68783</v>
      </c>
      <c r="AD32" s="343">
        <v>209472</v>
      </c>
      <c r="AE32" s="343">
        <v>159359</v>
      </c>
      <c r="AF32" s="343">
        <v>460140</v>
      </c>
      <c r="AG32" s="343">
        <v>359529</v>
      </c>
      <c r="AH32" s="343">
        <v>1038897</v>
      </c>
      <c r="AI32" s="343">
        <v>112657</v>
      </c>
      <c r="AJ32" s="343">
        <v>330974</v>
      </c>
      <c r="AK32" s="343">
        <v>77753</v>
      </c>
      <c r="AL32" s="343">
        <v>231608</v>
      </c>
      <c r="AM32" s="363"/>
      <c r="AN32" s="363"/>
      <c r="AO32" s="1088">
        <v>1533858</v>
      </c>
      <c r="AP32" s="1088">
        <v>3967104</v>
      </c>
      <c r="AQ32" s="364">
        <v>6825</v>
      </c>
      <c r="AR32" s="364">
        <v>20519</v>
      </c>
      <c r="AS32" s="361">
        <v>23656</v>
      </c>
      <c r="AT32" s="361">
        <v>70587</v>
      </c>
      <c r="AU32" s="343">
        <v>145018</v>
      </c>
      <c r="AV32" s="343">
        <v>414138</v>
      </c>
      <c r="AW32" s="351">
        <v>227027</v>
      </c>
      <c r="AX32" s="343">
        <v>614146</v>
      </c>
    </row>
    <row r="33" spans="1:50" s="645" customFormat="1" ht="18">
      <c r="A33" s="634" t="s">
        <v>173</v>
      </c>
      <c r="B33" s="635"/>
      <c r="C33" s="636">
        <v>4759766</v>
      </c>
      <c r="D33" s="1085">
        <v>13441142</v>
      </c>
      <c r="E33" s="636">
        <v>593397</v>
      </c>
      <c r="F33" s="637">
        <v>1728147</v>
      </c>
      <c r="G33" s="639">
        <v>973812</v>
      </c>
      <c r="H33" s="638">
        <v>2588838</v>
      </c>
      <c r="I33" s="638">
        <v>5720750</v>
      </c>
      <c r="J33" s="638">
        <v>17546644</v>
      </c>
      <c r="K33" s="638">
        <v>2423211</v>
      </c>
      <c r="L33" s="638">
        <v>7181080</v>
      </c>
      <c r="M33" s="640">
        <v>2286363</v>
      </c>
      <c r="N33" s="640">
        <v>6050208</v>
      </c>
      <c r="O33" s="638">
        <v>798286</v>
      </c>
      <c r="P33" s="638">
        <v>2779712</v>
      </c>
      <c r="Q33" s="641">
        <v>1678836</v>
      </c>
      <c r="R33" s="641">
        <v>4625128</v>
      </c>
      <c r="S33" s="638">
        <v>2762037</v>
      </c>
      <c r="T33" s="638">
        <v>7593940</v>
      </c>
      <c r="U33" s="638">
        <v>1653503</v>
      </c>
      <c r="V33" s="638">
        <v>4902473</v>
      </c>
      <c r="W33" s="638">
        <v>15969325</v>
      </c>
      <c r="X33" s="638"/>
      <c r="Y33" s="638">
        <v>13625196</v>
      </c>
      <c r="Z33" s="638">
        <v>38784665</v>
      </c>
      <c r="AA33" s="642">
        <v>870322</v>
      </c>
      <c r="AB33" s="642">
        <v>2489806</v>
      </c>
      <c r="AC33" s="638">
        <v>1898488</v>
      </c>
      <c r="AD33" s="638">
        <v>5220316</v>
      </c>
      <c r="AE33" s="638">
        <v>5736149</v>
      </c>
      <c r="AF33" s="638">
        <v>15446750</v>
      </c>
      <c r="AG33" s="638">
        <v>8903363</v>
      </c>
      <c r="AH33" s="638">
        <v>24398128</v>
      </c>
      <c r="AI33" s="638">
        <v>3187850</v>
      </c>
      <c r="AJ33" s="638">
        <v>9254191</v>
      </c>
      <c r="AK33" s="638">
        <v>3064203</v>
      </c>
      <c r="AL33" s="638">
        <v>9621760</v>
      </c>
      <c r="AM33" s="643"/>
      <c r="AN33" s="643"/>
      <c r="AO33" s="1090">
        <v>13376356</v>
      </c>
      <c r="AP33" s="1090">
        <v>36318059</v>
      </c>
      <c r="AQ33" s="644">
        <v>1739183</v>
      </c>
      <c r="AR33" s="644">
        <v>4783789</v>
      </c>
      <c r="AS33" s="642">
        <v>1573905</v>
      </c>
      <c r="AT33" s="642">
        <v>4204206</v>
      </c>
      <c r="AU33" s="638">
        <v>6163506</v>
      </c>
      <c r="AV33" s="638">
        <v>16544968</v>
      </c>
      <c r="AW33" s="639">
        <v>213405172</v>
      </c>
      <c r="AX33" s="638">
        <v>517431213</v>
      </c>
    </row>
    <row r="34" spans="1:50" ht="16.5">
      <c r="A34" s="284" t="s">
        <v>174</v>
      </c>
      <c r="B34" s="345" t="s">
        <v>175</v>
      </c>
      <c r="C34" s="341">
        <v>14281188</v>
      </c>
      <c r="D34" s="1083">
        <v>41705302</v>
      </c>
      <c r="E34" s="341">
        <v>685172</v>
      </c>
      <c r="F34" s="575">
        <v>1927030</v>
      </c>
      <c r="G34" s="351">
        <v>2803972</v>
      </c>
      <c r="H34" s="343">
        <v>7615075</v>
      </c>
      <c r="I34" s="343">
        <v>16973367</v>
      </c>
      <c r="J34" s="343">
        <v>44378386</v>
      </c>
      <c r="K34" s="343">
        <v>1051086</v>
      </c>
      <c r="L34" s="343">
        <v>2797618</v>
      </c>
      <c r="M34" s="354">
        <v>4531648</v>
      </c>
      <c r="N34" s="354">
        <v>13168585</v>
      </c>
      <c r="O34" s="343">
        <v>1076093</v>
      </c>
      <c r="P34" s="343">
        <v>2861161</v>
      </c>
      <c r="Q34" s="357">
        <v>221684</v>
      </c>
      <c r="R34" s="357">
        <v>570455</v>
      </c>
      <c r="S34" s="343">
        <v>3480646</v>
      </c>
      <c r="T34" s="343">
        <v>9519702</v>
      </c>
      <c r="U34" s="343">
        <v>1570568</v>
      </c>
      <c r="V34" s="343">
        <v>3486825</v>
      </c>
      <c r="W34" s="343">
        <v>55662930</v>
      </c>
      <c r="X34" s="343">
        <v>130892837</v>
      </c>
      <c r="Y34" s="343">
        <v>53730231</v>
      </c>
      <c r="Z34" s="343">
        <v>131202232</v>
      </c>
      <c r="AA34" s="361">
        <v>1502318</v>
      </c>
      <c r="AB34" s="361">
        <v>3921608</v>
      </c>
      <c r="AC34" s="343">
        <v>8021663</v>
      </c>
      <c r="AD34" s="343">
        <v>24883782</v>
      </c>
      <c r="AE34" s="343">
        <v>11004887</v>
      </c>
      <c r="AF34" s="343">
        <v>24513947</v>
      </c>
      <c r="AG34" s="343">
        <v>17357985</v>
      </c>
      <c r="AH34" s="343">
        <v>49414445</v>
      </c>
      <c r="AI34" s="343">
        <v>5919557</v>
      </c>
      <c r="AJ34" s="343">
        <v>16361588</v>
      </c>
      <c r="AK34" s="343">
        <v>6815494</v>
      </c>
      <c r="AL34" s="343">
        <v>19969287</v>
      </c>
      <c r="AM34" s="363"/>
      <c r="AN34" s="363"/>
      <c r="AO34" s="1088">
        <v>61516718</v>
      </c>
      <c r="AP34" s="1088">
        <v>122469697</v>
      </c>
      <c r="AQ34" s="364">
        <v>1230008</v>
      </c>
      <c r="AR34" s="364">
        <v>3681734</v>
      </c>
      <c r="AS34" s="361">
        <v>2952887</v>
      </c>
      <c r="AT34" s="361">
        <v>6948336</v>
      </c>
      <c r="AU34" s="343">
        <v>5878412</v>
      </c>
      <c r="AV34" s="343">
        <v>16601010</v>
      </c>
      <c r="AW34" s="351">
        <v>625580535</v>
      </c>
      <c r="AX34" s="343">
        <v>1658730586</v>
      </c>
    </row>
    <row r="35" spans="1:50" ht="16.5">
      <c r="A35" s="284" t="s">
        <v>176</v>
      </c>
      <c r="B35" s="349"/>
      <c r="C35" s="341">
        <v>8467</v>
      </c>
      <c r="D35" s="1083">
        <v>26474</v>
      </c>
      <c r="E35" s="341">
        <v>220</v>
      </c>
      <c r="F35" s="575">
        <v>799</v>
      </c>
      <c r="G35" s="351">
        <v>2367</v>
      </c>
      <c r="H35" s="343">
        <v>9302</v>
      </c>
      <c r="I35" s="343">
        <v>301317</v>
      </c>
      <c r="J35" s="343">
        <v>744564</v>
      </c>
      <c r="K35" s="343"/>
      <c r="L35" s="343"/>
      <c r="M35" s="354">
        <v>3744</v>
      </c>
      <c r="N35" s="354">
        <v>10944</v>
      </c>
      <c r="O35" s="343">
        <v>36</v>
      </c>
      <c r="P35" s="343">
        <v>103</v>
      </c>
      <c r="Q35" s="357">
        <v>22</v>
      </c>
      <c r="R35" s="357">
        <v>235</v>
      </c>
      <c r="S35" s="343">
        <v>1865</v>
      </c>
      <c r="T35" s="343">
        <v>6335</v>
      </c>
      <c r="U35" s="343">
        <v>4172</v>
      </c>
      <c r="V35" s="343">
        <v>11611</v>
      </c>
      <c r="W35" s="343">
        <f>139711+2290679</f>
        <v>2430390</v>
      </c>
      <c r="X35" s="343">
        <f>383080+5669738</f>
        <v>6052818</v>
      </c>
      <c r="Y35" s="343">
        <v>177832</v>
      </c>
      <c r="Z35" s="343">
        <v>524593</v>
      </c>
      <c r="AA35" s="361">
        <v>28</v>
      </c>
      <c r="AB35" s="361">
        <v>98</v>
      </c>
      <c r="AC35" s="343"/>
      <c r="AD35" s="343"/>
      <c r="AE35" s="343">
        <v>78287</v>
      </c>
      <c r="AF35" s="343">
        <v>179628</v>
      </c>
      <c r="AG35" s="343">
        <v>4531</v>
      </c>
      <c r="AH35" s="343">
        <v>11983</v>
      </c>
      <c r="AI35" s="343">
        <v>7091</v>
      </c>
      <c r="AJ35" s="343">
        <v>22426</v>
      </c>
      <c r="AK35" s="343">
        <v>1931</v>
      </c>
      <c r="AL35" s="343">
        <v>4724</v>
      </c>
      <c r="AM35" s="363"/>
      <c r="AN35" s="363"/>
      <c r="AO35" s="1088">
        <v>246849</v>
      </c>
      <c r="AP35" s="1088">
        <v>438462</v>
      </c>
      <c r="AQ35" s="364">
        <v>515</v>
      </c>
      <c r="AR35" s="364">
        <v>2586</v>
      </c>
      <c r="AS35" s="361">
        <v>33</v>
      </c>
      <c r="AT35" s="361">
        <v>48</v>
      </c>
      <c r="AU35" s="343"/>
      <c r="AV35" s="343"/>
      <c r="AW35" s="351">
        <v>5623539</v>
      </c>
      <c r="AX35" s="343">
        <v>14575372</v>
      </c>
    </row>
    <row r="36" spans="1:50" ht="17.25">
      <c r="A36" s="284" t="s">
        <v>177</v>
      </c>
      <c r="B36" s="349"/>
      <c r="C36" s="342"/>
      <c r="D36" s="1084"/>
      <c r="E36" s="342"/>
      <c r="F36" s="576"/>
      <c r="G36" s="352"/>
      <c r="H36" s="344"/>
      <c r="I36" s="344"/>
      <c r="J36" s="344"/>
      <c r="K36" s="344"/>
      <c r="L36" s="344"/>
      <c r="M36" s="355"/>
      <c r="N36" s="355"/>
      <c r="O36" s="344"/>
      <c r="P36" s="344"/>
      <c r="Q36" s="358"/>
      <c r="R36" s="358"/>
      <c r="S36" s="344"/>
      <c r="T36" s="344"/>
      <c r="U36" s="344"/>
      <c r="V36" s="344"/>
      <c r="W36" s="344"/>
      <c r="X36" s="344"/>
      <c r="Y36" s="344"/>
      <c r="Z36" s="344"/>
      <c r="AA36" s="360"/>
      <c r="AB36" s="360"/>
      <c r="AC36" s="344"/>
      <c r="AD36" s="344"/>
      <c r="AE36" s="362"/>
      <c r="AF36" s="362"/>
      <c r="AG36" s="344"/>
      <c r="AH36" s="344"/>
      <c r="AI36" s="344"/>
      <c r="AJ36" s="344"/>
      <c r="AK36" s="344"/>
      <c r="AL36" s="344"/>
      <c r="AM36" s="363"/>
      <c r="AN36" s="363"/>
      <c r="AO36" s="1089"/>
      <c r="AP36" s="1089"/>
      <c r="AQ36" s="364"/>
      <c r="AR36" s="364"/>
      <c r="AS36" s="361"/>
      <c r="AT36" s="361"/>
      <c r="AU36" s="344"/>
      <c r="AV36" s="344"/>
      <c r="AW36" s="352"/>
      <c r="AX36" s="344"/>
    </row>
    <row r="37" spans="1:50" ht="16.5">
      <c r="A37" s="284" t="s">
        <v>178</v>
      </c>
      <c r="B37" s="349"/>
      <c r="C37" s="341">
        <v>8021077</v>
      </c>
      <c r="D37" s="1083">
        <v>18656618</v>
      </c>
      <c r="E37" s="341">
        <f>894726+168759</f>
        <v>1063485</v>
      </c>
      <c r="F37" s="575">
        <f>1748455+73355</f>
        <v>1821810</v>
      </c>
      <c r="G37" s="351">
        <v>1472069</v>
      </c>
      <c r="H37" s="343">
        <v>1383070</v>
      </c>
      <c r="I37" s="343">
        <v>7523502</v>
      </c>
      <c r="J37" s="343">
        <v>21477672</v>
      </c>
      <c r="K37" s="343">
        <v>3872102</v>
      </c>
      <c r="L37" s="343">
        <v>9722217</v>
      </c>
      <c r="M37" s="354">
        <v>7257588</v>
      </c>
      <c r="N37" s="354">
        <v>15432275</v>
      </c>
      <c r="O37" s="343">
        <v>1252382</v>
      </c>
      <c r="P37" s="343">
        <v>4500375</v>
      </c>
      <c r="Q37" s="357">
        <v>1995003</v>
      </c>
      <c r="R37" s="357">
        <v>4881383</v>
      </c>
      <c r="S37" s="343">
        <v>5080115</v>
      </c>
      <c r="T37" s="343">
        <v>13690130</v>
      </c>
      <c r="U37" s="343">
        <f>104383+1105301</f>
        <v>1209684</v>
      </c>
      <c r="V37" s="343">
        <f>-77262+3535636</f>
        <v>3458374</v>
      </c>
      <c r="W37" s="343">
        <v>26727705</v>
      </c>
      <c r="X37" s="343">
        <v>91924480</v>
      </c>
      <c r="Y37" s="343">
        <v>34568302</v>
      </c>
      <c r="Z37" s="343">
        <v>100753333</v>
      </c>
      <c r="AA37" s="360">
        <v>3875121</v>
      </c>
      <c r="AB37" s="360">
        <v>9356944</v>
      </c>
      <c r="AC37" s="343">
        <v>-1370307</v>
      </c>
      <c r="AD37" s="343">
        <v>-3809324</v>
      </c>
      <c r="AE37" s="343">
        <v>9632515</v>
      </c>
      <c r="AF37" s="343">
        <v>27832078</v>
      </c>
      <c r="AG37" s="343">
        <v>24121533</v>
      </c>
      <c r="AH37" s="343">
        <v>63622702</v>
      </c>
      <c r="AI37" s="343">
        <f>431924+8838357</f>
        <v>9270281</v>
      </c>
      <c r="AJ37" s="343">
        <f>-2296729+22370217</f>
        <v>20073488</v>
      </c>
      <c r="AK37" s="343">
        <f>-943218+5363544</f>
        <v>4420326</v>
      </c>
      <c r="AL37" s="343">
        <f>-5060847+15511633</f>
        <v>10450786</v>
      </c>
      <c r="AM37" s="363"/>
      <c r="AN37" s="363"/>
      <c r="AO37" s="1088">
        <v>25628347</v>
      </c>
      <c r="AP37" s="1088">
        <v>81397737</v>
      </c>
      <c r="AQ37" s="364">
        <v>2441690</v>
      </c>
      <c r="AR37" s="364">
        <v>4870662</v>
      </c>
      <c r="AS37" s="361">
        <v>4358332</v>
      </c>
      <c r="AT37" s="361">
        <v>10260394</v>
      </c>
      <c r="AU37" s="343">
        <f>14590500+5543019</f>
        <v>20133519</v>
      </c>
      <c r="AV37" s="343">
        <f>37928452+8007147</f>
        <v>45935599</v>
      </c>
      <c r="AW37" s="351">
        <v>744025153</v>
      </c>
      <c r="AX37" s="343">
        <v>2397536827</v>
      </c>
    </row>
    <row r="38" spans="1:50" ht="16.5">
      <c r="A38" s="284" t="s">
        <v>179</v>
      </c>
      <c r="B38" s="349"/>
      <c r="C38" s="341">
        <v>-289681</v>
      </c>
      <c r="D38" s="1083">
        <v>-737401</v>
      </c>
      <c r="E38" s="341">
        <v>-183304</v>
      </c>
      <c r="F38" s="575">
        <v>-283318</v>
      </c>
      <c r="G38" s="351"/>
      <c r="H38" s="343">
        <v>-2928</v>
      </c>
      <c r="I38" s="343">
        <v>-72132</v>
      </c>
      <c r="J38" s="343">
        <v>-211494</v>
      </c>
      <c r="K38" s="343">
        <v>5724</v>
      </c>
      <c r="L38" s="343">
        <v>12862</v>
      </c>
      <c r="M38" s="354">
        <v>-8119</v>
      </c>
      <c r="N38" s="354">
        <v>-413997</v>
      </c>
      <c r="O38" s="343">
        <v>17641</v>
      </c>
      <c r="P38" s="343">
        <v>78311</v>
      </c>
      <c r="Q38" s="357">
        <v>-72775</v>
      </c>
      <c r="R38" s="357">
        <v>-165964</v>
      </c>
      <c r="S38" s="343">
        <v>-5066</v>
      </c>
      <c r="T38" s="343">
        <v>-125019</v>
      </c>
      <c r="U38" s="343">
        <v>15497</v>
      </c>
      <c r="V38" s="343">
        <v>24018</v>
      </c>
      <c r="W38" s="343">
        <v>-4236556</v>
      </c>
      <c r="X38" s="343">
        <v>-8694973</v>
      </c>
      <c r="Y38" s="343">
        <v>-13886595</v>
      </c>
      <c r="Z38" s="343">
        <v>-41544224</v>
      </c>
      <c r="AA38" s="360">
        <v>-2134</v>
      </c>
      <c r="AB38" s="360">
        <v>3485</v>
      </c>
      <c r="AC38" s="343"/>
      <c r="AD38" s="343"/>
      <c r="AE38" s="343">
        <v>-7483</v>
      </c>
      <c r="AF38" s="343">
        <v>-199770</v>
      </c>
      <c r="AG38" s="343">
        <v>-845629</v>
      </c>
      <c r="AH38" s="343">
        <v>-7949939</v>
      </c>
      <c r="AI38" s="343">
        <v>-390792</v>
      </c>
      <c r="AJ38" s="343">
        <v>-1041664</v>
      </c>
      <c r="AK38" s="343"/>
      <c r="AL38" s="343"/>
      <c r="AM38" s="363"/>
      <c r="AN38" s="363"/>
      <c r="AO38" s="1088">
        <v>57754</v>
      </c>
      <c r="AP38" s="1088">
        <v>-507188</v>
      </c>
      <c r="AQ38" s="364"/>
      <c r="AR38" s="364"/>
      <c r="AS38" s="361">
        <v>64023</v>
      </c>
      <c r="AT38" s="361">
        <v>-143693</v>
      </c>
      <c r="AU38" s="343">
        <v>-1977127</v>
      </c>
      <c r="AV38" s="343">
        <v>-5159693</v>
      </c>
      <c r="AW38" s="351"/>
      <c r="AX38" s="343"/>
    </row>
    <row r="39" spans="1:50" ht="16.5">
      <c r="A39" s="284" t="s">
        <v>180</v>
      </c>
      <c r="B39" s="349"/>
      <c r="C39" s="341"/>
      <c r="D39" s="1083"/>
      <c r="E39" s="341"/>
      <c r="F39" s="575"/>
      <c r="G39" s="351"/>
      <c r="H39" s="343"/>
      <c r="I39" s="343"/>
      <c r="J39" s="343"/>
      <c r="K39" s="343"/>
      <c r="L39" s="343"/>
      <c r="M39" s="354"/>
      <c r="N39" s="354"/>
      <c r="O39" s="343"/>
      <c r="P39" s="343"/>
      <c r="Q39" s="357"/>
      <c r="R39" s="357"/>
      <c r="S39" s="343"/>
      <c r="T39" s="343"/>
      <c r="U39" s="343"/>
      <c r="V39" s="343"/>
      <c r="W39" s="343"/>
      <c r="X39" s="343"/>
      <c r="Y39" s="343"/>
      <c r="Z39" s="343"/>
      <c r="AA39" s="360"/>
      <c r="AB39" s="360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63"/>
      <c r="AN39" s="363"/>
      <c r="AO39" s="1089"/>
      <c r="AP39" s="1089"/>
      <c r="AQ39" s="364"/>
      <c r="AR39" s="364"/>
      <c r="AS39" s="361"/>
      <c r="AT39" s="361"/>
      <c r="AU39" s="343"/>
      <c r="AV39" s="343"/>
      <c r="AW39" s="351"/>
      <c r="AX39" s="343"/>
    </row>
    <row r="40" spans="1:50" ht="16.5">
      <c r="A40" s="284" t="s">
        <v>181</v>
      </c>
      <c r="B40" s="349"/>
      <c r="C40" s="341">
        <f>5120448+379186</f>
        <v>5499634</v>
      </c>
      <c r="D40" s="1083">
        <f>1124305+1048662</f>
        <v>2172967</v>
      </c>
      <c r="E40" s="341"/>
      <c r="F40" s="575"/>
      <c r="G40" s="351"/>
      <c r="H40" s="343"/>
      <c r="I40" s="343">
        <v>6243857</v>
      </c>
      <c r="J40" s="343">
        <v>3793765</v>
      </c>
      <c r="K40" s="343"/>
      <c r="L40" s="343"/>
      <c r="M40" s="354"/>
      <c r="N40" s="354"/>
      <c r="O40" s="343"/>
      <c r="P40" s="343"/>
      <c r="Q40" s="357"/>
      <c r="R40" s="357"/>
      <c r="S40" s="343"/>
      <c r="T40" s="343"/>
      <c r="U40" s="343"/>
      <c r="V40" s="343"/>
      <c r="W40" s="343">
        <v>16056390</v>
      </c>
      <c r="X40" s="343">
        <v>8307466</v>
      </c>
      <c r="Y40" s="343">
        <v>32683186</v>
      </c>
      <c r="Z40" s="343">
        <v>34998208</v>
      </c>
      <c r="AA40" s="360"/>
      <c r="AB40" s="360"/>
      <c r="AC40" s="343">
        <v>1690783</v>
      </c>
      <c r="AD40" s="343">
        <v>3055567</v>
      </c>
      <c r="AE40" s="343"/>
      <c r="AF40" s="343"/>
      <c r="AG40" s="343"/>
      <c r="AH40" s="343"/>
      <c r="AI40" s="343"/>
      <c r="AJ40" s="343"/>
      <c r="AK40" s="343"/>
      <c r="AL40" s="343"/>
      <c r="AM40" s="363"/>
      <c r="AN40" s="363"/>
      <c r="AO40" s="1088">
        <v>47439366</v>
      </c>
      <c r="AP40" s="1088">
        <v>114154693</v>
      </c>
      <c r="AQ40" s="364"/>
      <c r="AR40" s="364"/>
      <c r="AS40" s="361"/>
      <c r="AT40" s="361"/>
      <c r="AU40" s="343"/>
      <c r="AV40" s="343"/>
      <c r="AW40" s="351"/>
      <c r="AX40" s="343"/>
    </row>
    <row r="41" spans="1:50" ht="17.25">
      <c r="A41" s="284" t="s">
        <v>182</v>
      </c>
      <c r="B41" s="349"/>
      <c r="C41" s="342"/>
      <c r="D41" s="1084"/>
      <c r="E41" s="342"/>
      <c r="F41" s="576"/>
      <c r="G41" s="352">
        <v>-114077</v>
      </c>
      <c r="H41" s="344">
        <v>-101146</v>
      </c>
      <c r="I41" s="344">
        <v>696599</v>
      </c>
      <c r="J41" s="344">
        <v>2504996</v>
      </c>
      <c r="K41" s="344"/>
      <c r="L41" s="344"/>
      <c r="M41" s="355"/>
      <c r="N41" s="355"/>
      <c r="O41" s="344"/>
      <c r="P41" s="344"/>
      <c r="Q41" s="358"/>
      <c r="R41" s="358"/>
      <c r="S41" s="344"/>
      <c r="T41" s="344"/>
      <c r="U41" s="344"/>
      <c r="V41" s="344"/>
      <c r="W41" s="344">
        <v>1417342</v>
      </c>
      <c r="X41" s="344">
        <v>6035338</v>
      </c>
      <c r="Y41" s="344">
        <v>4503663</v>
      </c>
      <c r="Z41" s="344">
        <v>17558067</v>
      </c>
      <c r="AA41" s="360"/>
      <c r="AB41" s="360"/>
      <c r="AC41" s="344">
        <v>227954</v>
      </c>
      <c r="AD41" s="344">
        <v>600523</v>
      </c>
      <c r="AE41" s="362"/>
      <c r="AF41" s="362"/>
      <c r="AG41" s="344">
        <v>1778953</v>
      </c>
      <c r="AH41" s="344">
        <v>4057825</v>
      </c>
      <c r="AI41" s="344"/>
      <c r="AJ41" s="344"/>
      <c r="AK41" s="344"/>
      <c r="AL41" s="344"/>
      <c r="AM41" s="363"/>
      <c r="AN41" s="363"/>
      <c r="AO41" s="1088">
        <v>3443187</v>
      </c>
      <c r="AP41" s="1088">
        <v>15056503</v>
      </c>
      <c r="AQ41" s="364"/>
      <c r="AR41" s="364"/>
      <c r="AS41" s="343">
        <v>-433211</v>
      </c>
      <c r="AT41" s="343">
        <v>-716776</v>
      </c>
      <c r="AU41" s="344"/>
      <c r="AV41" s="344"/>
      <c r="AW41" s="352">
        <v>1079</v>
      </c>
      <c r="AX41" s="344">
        <v>29990</v>
      </c>
    </row>
    <row r="42" spans="1:50" ht="17.25">
      <c r="A42" s="284" t="s">
        <v>211</v>
      </c>
      <c r="B42" s="349"/>
      <c r="C42" s="342"/>
      <c r="D42" s="1084"/>
      <c r="E42" s="342"/>
      <c r="F42" s="576"/>
      <c r="G42" s="352"/>
      <c r="H42" s="344"/>
      <c r="I42" s="344"/>
      <c r="J42" s="344"/>
      <c r="K42" s="344"/>
      <c r="L42" s="344"/>
      <c r="M42" s="355"/>
      <c r="N42" s="355"/>
      <c r="O42" s="344"/>
      <c r="P42" s="344"/>
      <c r="Q42" s="358"/>
      <c r="R42" s="358"/>
      <c r="S42" s="344"/>
      <c r="T42" s="344"/>
      <c r="U42" s="344"/>
      <c r="V42" s="344"/>
      <c r="W42" s="344"/>
      <c r="X42" s="344"/>
      <c r="Y42" s="344"/>
      <c r="Z42" s="344"/>
      <c r="AA42" s="360"/>
      <c r="AB42" s="360"/>
      <c r="AC42" s="344"/>
      <c r="AD42" s="344"/>
      <c r="AE42" s="362">
        <v>7777241</v>
      </c>
      <c r="AF42" s="362">
        <v>13317945</v>
      </c>
      <c r="AG42" s="344"/>
      <c r="AH42" s="344"/>
      <c r="AI42" s="344"/>
      <c r="AJ42" s="344"/>
      <c r="AK42" s="344"/>
      <c r="AL42" s="344"/>
      <c r="AM42" s="363"/>
      <c r="AN42" s="363"/>
      <c r="AO42" s="1088"/>
      <c r="AP42" s="1088"/>
      <c r="AQ42" s="364"/>
      <c r="AR42" s="364"/>
      <c r="AS42" s="343">
        <v>-18028</v>
      </c>
      <c r="AT42" s="343">
        <v>-722367</v>
      </c>
      <c r="AU42" s="344"/>
      <c r="AV42" s="344"/>
      <c r="AW42" s="352">
        <v>-8107068</v>
      </c>
      <c r="AX42" s="344">
        <v>-37602742</v>
      </c>
    </row>
    <row r="43" spans="1:50" ht="17.25">
      <c r="A43" s="284" t="s">
        <v>213</v>
      </c>
      <c r="B43" s="349"/>
      <c r="C43" s="342"/>
      <c r="D43" s="1084"/>
      <c r="E43" s="342"/>
      <c r="F43" s="576"/>
      <c r="G43" s="352"/>
      <c r="H43" s="344"/>
      <c r="I43" s="344">
        <v>57995</v>
      </c>
      <c r="J43" s="344">
        <v>-246630</v>
      </c>
      <c r="K43" s="344"/>
      <c r="L43" s="344"/>
      <c r="M43" s="355"/>
      <c r="N43" s="355"/>
      <c r="O43" s="344"/>
      <c r="P43" s="344"/>
      <c r="Q43" s="358"/>
      <c r="R43" s="358"/>
      <c r="S43" s="344"/>
      <c r="T43" s="344"/>
      <c r="U43" s="344"/>
      <c r="V43" s="344"/>
      <c r="W43" s="344"/>
      <c r="X43" s="344"/>
      <c r="Y43" s="344"/>
      <c r="Z43" s="344"/>
      <c r="AA43" s="360"/>
      <c r="AB43" s="360"/>
      <c r="AC43" s="344"/>
      <c r="AD43" s="344"/>
      <c r="AE43" s="362"/>
      <c r="AF43" s="362"/>
      <c r="AG43" s="344"/>
      <c r="AH43" s="344"/>
      <c r="AI43" s="344"/>
      <c r="AJ43" s="344"/>
      <c r="AK43" s="344"/>
      <c r="AL43" s="344"/>
      <c r="AM43" s="363"/>
      <c r="AN43" s="363"/>
      <c r="AO43" s="1088"/>
      <c r="AP43" s="1088"/>
      <c r="AQ43" s="364"/>
      <c r="AR43" s="364"/>
      <c r="AS43" s="343"/>
      <c r="AT43" s="343"/>
      <c r="AU43" s="344"/>
      <c r="AV43" s="344"/>
      <c r="AW43" s="352"/>
      <c r="AX43" s="344"/>
    </row>
    <row r="44" spans="1:50" ht="17.25">
      <c r="A44" s="284" t="s">
        <v>245</v>
      </c>
      <c r="B44" s="349"/>
      <c r="C44" s="342"/>
      <c r="D44" s="1084"/>
      <c r="E44" s="342"/>
      <c r="F44" s="576"/>
      <c r="G44" s="352"/>
      <c r="H44" s="344"/>
      <c r="I44" s="344"/>
      <c r="J44" s="344"/>
      <c r="K44" s="344"/>
      <c r="L44" s="344"/>
      <c r="M44" s="355"/>
      <c r="N44" s="355"/>
      <c r="O44" s="344"/>
      <c r="P44" s="344"/>
      <c r="Q44" s="358"/>
      <c r="R44" s="358"/>
      <c r="S44" s="344"/>
      <c r="T44" s="344"/>
      <c r="U44" s="344"/>
      <c r="V44" s="344"/>
      <c r="W44" s="344"/>
      <c r="X44" s="344"/>
      <c r="Y44" s="344"/>
      <c r="Z44" s="344"/>
      <c r="AA44" s="360"/>
      <c r="AB44" s="360"/>
      <c r="AC44" s="344"/>
      <c r="AD44" s="344"/>
      <c r="AE44" s="362"/>
      <c r="AF44" s="362"/>
      <c r="AG44" s="344"/>
      <c r="AH44" s="344"/>
      <c r="AI44" s="344"/>
      <c r="AJ44" s="344"/>
      <c r="AK44" s="344"/>
      <c r="AL44" s="344"/>
      <c r="AM44" s="363"/>
      <c r="AN44" s="363"/>
      <c r="AO44" s="1088"/>
      <c r="AP44" s="1088"/>
      <c r="AQ44" s="364"/>
      <c r="AR44" s="364"/>
      <c r="AS44" s="343"/>
      <c r="AT44" s="343"/>
      <c r="AU44" s="344"/>
      <c r="AV44" s="344"/>
      <c r="AW44" s="352"/>
      <c r="AX44" s="344"/>
    </row>
    <row r="45" spans="1:50" s="645" customFormat="1" ht="18">
      <c r="A45" s="634" t="s">
        <v>183</v>
      </c>
      <c r="B45" s="635"/>
      <c r="C45" s="636">
        <v>27520685</v>
      </c>
      <c r="D45" s="1085">
        <v>61823960</v>
      </c>
      <c r="E45" s="636">
        <v>1565573</v>
      </c>
      <c r="F45" s="637">
        <v>3466321</v>
      </c>
      <c r="G45" s="639">
        <v>4155425</v>
      </c>
      <c r="H45" s="638">
        <v>8903373</v>
      </c>
      <c r="I45" s="638">
        <v>31724505</v>
      </c>
      <c r="J45" s="638">
        <v>72441259</v>
      </c>
      <c r="K45" s="638">
        <v>4928912</v>
      </c>
      <c r="L45" s="638">
        <v>12532697</v>
      </c>
      <c r="M45" s="640">
        <v>11784861</v>
      </c>
      <c r="N45" s="640">
        <v>28197807</v>
      </c>
      <c r="O45" s="638">
        <v>2346151</v>
      </c>
      <c r="P45" s="638">
        <v>7439950</v>
      </c>
      <c r="Q45" s="641">
        <v>2143934</v>
      </c>
      <c r="R45" s="641">
        <v>5286110</v>
      </c>
      <c r="S45" s="638">
        <v>8557560</v>
      </c>
      <c r="T45" s="638">
        <v>23091148</v>
      </c>
      <c r="U45" s="638">
        <v>2799921</v>
      </c>
      <c r="V45" s="638">
        <v>6980828</v>
      </c>
      <c r="W45" s="638">
        <v>98058201</v>
      </c>
      <c r="X45" s="638">
        <v>234517966</v>
      </c>
      <c r="Y45" s="638">
        <v>111776619</v>
      </c>
      <c r="Z45" s="638">
        <v>243492209</v>
      </c>
      <c r="AA45" s="642">
        <v>5375333</v>
      </c>
      <c r="AB45" s="642">
        <v>13282135</v>
      </c>
      <c r="AC45" s="638">
        <v>8570093</v>
      </c>
      <c r="AD45" s="638">
        <v>24730549</v>
      </c>
      <c r="AE45" s="638">
        <v>28485447</v>
      </c>
      <c r="AF45" s="638">
        <v>65643828</v>
      </c>
      <c r="AG45" s="638">
        <v>42417373</v>
      </c>
      <c r="AH45" s="638">
        <v>1091577016</v>
      </c>
      <c r="AI45" s="638">
        <v>14806137</v>
      </c>
      <c r="AJ45" s="638">
        <v>35415838</v>
      </c>
      <c r="AK45" s="638">
        <v>11237751</v>
      </c>
      <c r="AL45" s="638">
        <v>30424797</v>
      </c>
      <c r="AM45" s="643"/>
      <c r="AN45" s="643"/>
      <c r="AO45" s="1090">
        <v>138332222</v>
      </c>
      <c r="AP45" s="1090">
        <v>333009905</v>
      </c>
      <c r="AQ45" s="644">
        <v>3672213</v>
      </c>
      <c r="AR45" s="644">
        <v>8554983</v>
      </c>
      <c r="AS45" s="642">
        <v>6924036</v>
      </c>
      <c r="AT45" s="642">
        <v>15625942</v>
      </c>
      <c r="AU45" s="638">
        <v>24034804</v>
      </c>
      <c r="AV45" s="638">
        <v>57376916</v>
      </c>
      <c r="AW45" s="639">
        <v>1367123238</v>
      </c>
      <c r="AX45" s="638">
        <v>4033270033</v>
      </c>
    </row>
    <row r="46" spans="1:50" s="645" customFormat="1" ht="18">
      <c r="A46" s="634" t="s">
        <v>184</v>
      </c>
      <c r="B46" s="635"/>
      <c r="C46" s="636">
        <v>645638</v>
      </c>
      <c r="D46" s="1085">
        <v>1859781</v>
      </c>
      <c r="E46" s="636">
        <v>-19813</v>
      </c>
      <c r="F46" s="637">
        <v>127944</v>
      </c>
      <c r="G46" s="639">
        <v>-45405</v>
      </c>
      <c r="H46" s="638">
        <v>193901</v>
      </c>
      <c r="I46" s="638">
        <v>-145572</v>
      </c>
      <c r="J46" s="638">
        <v>870664</v>
      </c>
      <c r="K46" s="638">
        <v>-462047</v>
      </c>
      <c r="L46" s="638">
        <v>-876327</v>
      </c>
      <c r="M46" s="640">
        <v>489059</v>
      </c>
      <c r="N46" s="640">
        <v>1326679</v>
      </c>
      <c r="O46" s="638">
        <v>391027</v>
      </c>
      <c r="P46" s="638">
        <v>1288752</v>
      </c>
      <c r="Q46" s="641">
        <v>7543</v>
      </c>
      <c r="R46" s="641">
        <v>14678</v>
      </c>
      <c r="S46" s="638">
        <v>62799</v>
      </c>
      <c r="T46" s="638">
        <v>213272</v>
      </c>
      <c r="U46" s="638">
        <v>-27575</v>
      </c>
      <c r="V46" s="638">
        <v>36931</v>
      </c>
      <c r="W46" s="638">
        <v>2459678</v>
      </c>
      <c r="X46" s="638">
        <v>8353816</v>
      </c>
      <c r="Y46" s="638">
        <v>4064366</v>
      </c>
      <c r="Z46" s="638">
        <v>13600911</v>
      </c>
      <c r="AA46" s="642">
        <v>358255</v>
      </c>
      <c r="AB46" s="642">
        <v>1005016</v>
      </c>
      <c r="AC46" s="638">
        <v>353692</v>
      </c>
      <c r="AD46" s="638">
        <v>412115</v>
      </c>
      <c r="AE46" s="638">
        <v>1737123</v>
      </c>
      <c r="AF46" s="638">
        <v>4321822</v>
      </c>
      <c r="AG46" s="638">
        <v>1543412</v>
      </c>
      <c r="AH46" s="638">
        <v>4995306</v>
      </c>
      <c r="AI46" s="638">
        <v>368290</v>
      </c>
      <c r="AJ46" s="638">
        <v>1768891</v>
      </c>
      <c r="AK46" s="638">
        <v>-178553</v>
      </c>
      <c r="AL46" s="638">
        <v>647916</v>
      </c>
      <c r="AM46" s="643"/>
      <c r="AN46" s="643"/>
      <c r="AO46" s="1090">
        <v>6081828</v>
      </c>
      <c r="AP46" s="1090">
        <v>12351343</v>
      </c>
      <c r="AQ46" s="644">
        <v>22395</v>
      </c>
      <c r="AR46" s="644">
        <v>239165</v>
      </c>
      <c r="AS46" s="642">
        <v>295969</v>
      </c>
      <c r="AT46" s="642">
        <v>632737</v>
      </c>
      <c r="AU46" s="638">
        <v>-203333</v>
      </c>
      <c r="AV46" s="638">
        <v>-317043</v>
      </c>
      <c r="AW46" s="639"/>
      <c r="AX46" s="638"/>
    </row>
    <row r="47" spans="1:50" ht="17.25">
      <c r="A47" s="345" t="s">
        <v>238</v>
      </c>
      <c r="B47" s="349"/>
      <c r="C47" s="342"/>
      <c r="D47" s="1084"/>
      <c r="E47" s="342"/>
      <c r="F47" s="576"/>
      <c r="G47" s="351"/>
      <c r="H47" s="343"/>
      <c r="I47" s="343">
        <v>-234580</v>
      </c>
      <c r="J47" s="343">
        <v>-240617</v>
      </c>
      <c r="K47" s="343"/>
      <c r="L47" s="343"/>
      <c r="M47" s="354"/>
      <c r="N47" s="354"/>
      <c r="O47" s="343"/>
      <c r="P47" s="343"/>
      <c r="Q47" s="358"/>
      <c r="R47" s="358"/>
      <c r="S47" s="343"/>
      <c r="T47" s="343"/>
      <c r="U47" s="343"/>
      <c r="V47" s="343"/>
      <c r="W47" s="343"/>
      <c r="X47" s="343"/>
      <c r="Y47" s="343">
        <v>-194124</v>
      </c>
      <c r="Z47" s="343">
        <f>-741768-446</f>
        <v>-742214</v>
      </c>
      <c r="AA47" s="361">
        <v>21507</v>
      </c>
      <c r="AB47" s="361">
        <v>37796</v>
      </c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63"/>
      <c r="AN47" s="363"/>
      <c r="AO47" s="1092"/>
      <c r="AP47" s="1092"/>
      <c r="AQ47" s="364"/>
      <c r="AR47" s="364"/>
      <c r="AS47" s="361"/>
      <c r="AT47" s="361"/>
      <c r="AU47" s="343"/>
      <c r="AV47" s="343"/>
      <c r="AW47" s="351"/>
      <c r="AX47" s="343"/>
    </row>
    <row r="48" spans="1:50" ht="16.5">
      <c r="A48" s="345" t="s">
        <v>185</v>
      </c>
      <c r="B48" s="349"/>
      <c r="C48" s="341"/>
      <c r="D48" s="1083"/>
      <c r="E48" s="341"/>
      <c r="F48" s="575"/>
      <c r="G48" s="351"/>
      <c r="H48" s="343"/>
      <c r="I48" s="343"/>
      <c r="J48" s="343"/>
      <c r="K48" s="343"/>
      <c r="L48" s="343"/>
      <c r="M48" s="354"/>
      <c r="N48" s="354"/>
      <c r="O48" s="343"/>
      <c r="P48" s="343"/>
      <c r="Q48" s="357"/>
      <c r="R48" s="357"/>
      <c r="S48" s="343"/>
      <c r="T48" s="343"/>
      <c r="U48" s="343"/>
      <c r="V48" s="343"/>
      <c r="W48" s="343"/>
      <c r="X48" s="343"/>
      <c r="Y48" s="343"/>
      <c r="Z48" s="343"/>
      <c r="AA48" s="361"/>
      <c r="AB48" s="361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63"/>
      <c r="AN48" s="363"/>
      <c r="AO48" s="1089"/>
      <c r="AP48" s="1089"/>
      <c r="AQ48" s="364"/>
      <c r="AR48" s="364"/>
      <c r="AS48" s="361"/>
      <c r="AT48" s="361"/>
      <c r="AU48" s="343"/>
      <c r="AV48" s="343"/>
      <c r="AW48" s="351"/>
      <c r="AX48" s="343"/>
    </row>
    <row r="49" spans="1:50" ht="16.5">
      <c r="A49" s="345" t="s">
        <v>216</v>
      </c>
      <c r="B49" s="349"/>
      <c r="C49" s="341"/>
      <c r="D49" s="1083"/>
      <c r="E49" s="341"/>
      <c r="F49" s="575"/>
      <c r="G49" s="351"/>
      <c r="H49" s="343"/>
      <c r="I49" s="343"/>
      <c r="J49" s="343"/>
      <c r="K49" s="343"/>
      <c r="L49" s="343"/>
      <c r="M49" s="354"/>
      <c r="N49" s="354"/>
      <c r="O49" s="343"/>
      <c r="P49" s="343"/>
      <c r="Q49" s="357"/>
      <c r="R49" s="357"/>
      <c r="S49" s="343"/>
      <c r="T49" s="343"/>
      <c r="U49" s="343"/>
      <c r="V49" s="343"/>
      <c r="W49" s="343"/>
      <c r="X49" s="343"/>
      <c r="Y49" s="343"/>
      <c r="Z49" s="343"/>
      <c r="AA49" s="361"/>
      <c r="AB49" s="361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63"/>
      <c r="AN49" s="363"/>
      <c r="AO49" s="1089"/>
      <c r="AP49" s="1089"/>
      <c r="AQ49" s="364"/>
      <c r="AR49" s="364"/>
      <c r="AS49" s="361"/>
      <c r="AT49" s="361"/>
      <c r="AU49" s="343"/>
      <c r="AV49" s="343"/>
      <c r="AW49" s="351"/>
      <c r="AX49" s="343"/>
    </row>
    <row r="50" spans="1:50" ht="16.5">
      <c r="A50" s="284" t="s">
        <v>186</v>
      </c>
      <c r="B50" s="349"/>
      <c r="C50" s="341"/>
      <c r="D50" s="1083"/>
      <c r="E50" s="341"/>
      <c r="F50" s="575"/>
      <c r="G50" s="351"/>
      <c r="H50" s="343"/>
      <c r="I50" s="343"/>
      <c r="J50" s="343"/>
      <c r="K50" s="343"/>
      <c r="L50" s="343"/>
      <c r="M50" s="354"/>
      <c r="N50" s="354"/>
      <c r="O50" s="343"/>
      <c r="P50" s="343"/>
      <c r="Q50" s="357"/>
      <c r="R50" s="357"/>
      <c r="S50" s="343"/>
      <c r="T50" s="343"/>
      <c r="U50" s="343"/>
      <c r="V50" s="343"/>
      <c r="W50" s="343"/>
      <c r="X50" s="343"/>
      <c r="Y50" s="343"/>
      <c r="Z50" s="343"/>
      <c r="AA50" s="361"/>
      <c r="AB50" s="361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63"/>
      <c r="AN50" s="363"/>
      <c r="AO50" s="1088">
        <v>6081828</v>
      </c>
      <c r="AP50" s="1088">
        <v>15167549</v>
      </c>
      <c r="AQ50" s="364"/>
      <c r="AR50" s="364"/>
      <c r="AS50" s="361"/>
      <c r="AT50" s="361"/>
      <c r="AU50" s="343">
        <f>AU46</f>
        <v>-203333</v>
      </c>
      <c r="AV50" s="343">
        <f>AV46</f>
        <v>-317043</v>
      </c>
      <c r="AW50" s="351"/>
      <c r="AX50" s="343"/>
    </row>
    <row r="51" spans="1:50" ht="17.25">
      <c r="A51" s="345" t="s">
        <v>100</v>
      </c>
      <c r="B51" s="349"/>
      <c r="C51" s="342"/>
      <c r="D51" s="1084"/>
      <c r="E51" s="342"/>
      <c r="F51" s="576"/>
      <c r="G51" s="352"/>
      <c r="H51" s="344"/>
      <c r="I51" s="344"/>
      <c r="J51" s="344"/>
      <c r="K51" s="344"/>
      <c r="L51" s="344"/>
      <c r="M51" s="355"/>
      <c r="N51" s="355"/>
      <c r="O51" s="344"/>
      <c r="P51" s="344"/>
      <c r="Q51" s="358"/>
      <c r="R51" s="358"/>
      <c r="S51" s="344"/>
      <c r="T51" s="344"/>
      <c r="U51" s="344"/>
      <c r="V51" s="344"/>
      <c r="W51" s="344"/>
      <c r="X51" s="344"/>
      <c r="Y51" s="344"/>
      <c r="Z51" s="344"/>
      <c r="AA51" s="343"/>
      <c r="AB51" s="343"/>
      <c r="AC51" s="344"/>
      <c r="AD51" s="344"/>
      <c r="AE51" s="362"/>
      <c r="AF51" s="362"/>
      <c r="AG51" s="344"/>
      <c r="AH51" s="344"/>
      <c r="AI51" s="344"/>
      <c r="AJ51" s="344"/>
      <c r="AK51" s="344"/>
      <c r="AL51" s="344"/>
      <c r="AM51" s="363"/>
      <c r="AN51" s="363"/>
      <c r="AO51" s="1089"/>
      <c r="AP51" s="1089"/>
      <c r="AQ51" s="364"/>
      <c r="AR51" s="364"/>
      <c r="AS51" s="343"/>
      <c r="AT51" s="343"/>
      <c r="AU51" s="344"/>
      <c r="AV51" s="344"/>
      <c r="AW51" s="352"/>
      <c r="AX51" s="344"/>
    </row>
    <row r="52" spans="1:50" ht="16.5">
      <c r="A52" s="284" t="s">
        <v>187</v>
      </c>
      <c r="B52" s="349"/>
      <c r="C52" s="341">
        <v>635045</v>
      </c>
      <c r="D52" s="1083">
        <v>1831449</v>
      </c>
      <c r="E52" s="341"/>
      <c r="F52" s="575"/>
      <c r="G52" s="351"/>
      <c r="H52" s="343"/>
      <c r="I52" s="343">
        <v>100582</v>
      </c>
      <c r="J52" s="343">
        <v>378516</v>
      </c>
      <c r="K52" s="343">
        <v>-449958</v>
      </c>
      <c r="L52" s="343">
        <v>-1195957</v>
      </c>
      <c r="M52" s="354"/>
      <c r="N52" s="354"/>
      <c r="O52" s="343">
        <v>391026</v>
      </c>
      <c r="P52" s="343">
        <v>1330481</v>
      </c>
      <c r="Q52" s="359"/>
      <c r="R52" s="359"/>
      <c r="S52" s="343"/>
      <c r="T52" s="343"/>
      <c r="U52" s="343"/>
      <c r="V52" s="343"/>
      <c r="W52" s="343">
        <v>1690987</v>
      </c>
      <c r="X52" s="343">
        <v>7397295</v>
      </c>
      <c r="Y52" s="343">
        <v>3625453</v>
      </c>
      <c r="Z52" s="343">
        <v>11279936</v>
      </c>
      <c r="AA52" s="361"/>
      <c r="AB52" s="361"/>
      <c r="AC52" s="343">
        <v>287378</v>
      </c>
      <c r="AD52" s="343">
        <v>358200</v>
      </c>
      <c r="AE52" s="343"/>
      <c r="AF52" s="343"/>
      <c r="AG52" s="343"/>
      <c r="AH52" s="343">
        <v>2417803</v>
      </c>
      <c r="AI52" s="343">
        <v>56527</v>
      </c>
      <c r="AJ52" s="343">
        <v>309314</v>
      </c>
      <c r="AK52" s="343"/>
      <c r="AL52" s="343"/>
      <c r="AM52" s="363"/>
      <c r="AN52" s="363"/>
      <c r="AO52" s="1088">
        <v>2707403</v>
      </c>
      <c r="AP52" s="1088">
        <v>5417342</v>
      </c>
      <c r="AQ52" s="364"/>
      <c r="AR52" s="364"/>
      <c r="AS52" s="361">
        <v>194486</v>
      </c>
      <c r="AT52" s="361">
        <v>602418</v>
      </c>
      <c r="AU52" s="343">
        <v>-19428</v>
      </c>
      <c r="AV52" s="343">
        <v>146974</v>
      </c>
      <c r="AW52" s="351"/>
      <c r="AX52" s="343"/>
    </row>
    <row r="53" spans="1:50" ht="16.5">
      <c r="A53" s="284" t="s">
        <v>209</v>
      </c>
      <c r="B53" s="349"/>
      <c r="C53" s="341"/>
      <c r="D53" s="1083"/>
      <c r="E53" s="341">
        <v>-39976</v>
      </c>
      <c r="F53" s="575">
        <v>-99786</v>
      </c>
      <c r="G53" s="351">
        <v>40251</v>
      </c>
      <c r="H53" s="343">
        <v>111884</v>
      </c>
      <c r="I53" s="343"/>
      <c r="J53" s="343"/>
      <c r="K53" s="343"/>
      <c r="L53" s="343"/>
      <c r="M53" s="354">
        <v>291201</v>
      </c>
      <c r="N53" s="354">
        <v>862947</v>
      </c>
      <c r="O53" s="343"/>
      <c r="P53" s="343"/>
      <c r="Q53" s="359">
        <v>2604</v>
      </c>
      <c r="R53" s="359">
        <v>5733</v>
      </c>
      <c r="S53" s="343"/>
      <c r="T53" s="343"/>
      <c r="U53" s="343"/>
      <c r="V53" s="343"/>
      <c r="W53" s="343"/>
      <c r="X53" s="343"/>
      <c r="Y53" s="343"/>
      <c r="Z53" s="343"/>
      <c r="AA53" s="361">
        <v>-2300</v>
      </c>
      <c r="AB53" s="361">
        <v>-2300</v>
      </c>
      <c r="AC53" s="343">
        <v>-1562</v>
      </c>
      <c r="AD53" s="343">
        <v>-187514</v>
      </c>
      <c r="AE53" s="343"/>
      <c r="AF53" s="343"/>
      <c r="AG53" s="343"/>
      <c r="AH53" s="343"/>
      <c r="AI53" s="343"/>
      <c r="AJ53" s="343"/>
      <c r="AK53" s="343">
        <v>-73478</v>
      </c>
      <c r="AL53" s="343">
        <v>14945</v>
      </c>
      <c r="AM53" s="363"/>
      <c r="AN53" s="363"/>
      <c r="AO53" s="1088"/>
      <c r="AP53" s="1088"/>
      <c r="AQ53" s="364"/>
      <c r="AR53" s="364"/>
      <c r="AS53" s="361"/>
      <c r="AT53" s="361"/>
      <c r="AU53" s="343"/>
      <c r="AV53" s="343"/>
      <c r="AW53" s="351"/>
      <c r="AX53" s="343"/>
    </row>
    <row r="54" spans="1:50" ht="16.5">
      <c r="A54" s="284" t="s">
        <v>188</v>
      </c>
      <c r="B54" s="349"/>
      <c r="C54" s="341"/>
      <c r="D54" s="1083"/>
      <c r="E54" s="341"/>
      <c r="F54" s="575"/>
      <c r="G54" s="351"/>
      <c r="H54" s="343"/>
      <c r="I54" s="343"/>
      <c r="J54" s="343"/>
      <c r="K54" s="343"/>
      <c r="L54" s="343"/>
      <c r="M54" s="354"/>
      <c r="N54" s="354"/>
      <c r="O54" s="343"/>
      <c r="P54" s="343"/>
      <c r="Q54" s="359"/>
      <c r="R54" s="359"/>
      <c r="S54" s="343"/>
      <c r="T54" s="343"/>
      <c r="U54" s="343"/>
      <c r="V54" s="343"/>
      <c r="W54" s="343"/>
      <c r="X54" s="343"/>
      <c r="Y54" s="343"/>
      <c r="Z54" s="343"/>
      <c r="AA54" s="361"/>
      <c r="AB54" s="361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63"/>
      <c r="AN54" s="363"/>
      <c r="AO54" s="1089"/>
      <c r="AP54" s="1089"/>
      <c r="AQ54" s="364"/>
      <c r="AR54" s="364"/>
      <c r="AS54" s="361"/>
      <c r="AT54" s="361"/>
      <c r="AU54" s="343"/>
      <c r="AV54" s="343"/>
      <c r="AW54" s="351"/>
      <c r="AX54" s="343"/>
    </row>
    <row r="55" spans="1:50" ht="16.5">
      <c r="A55" s="284" t="s">
        <v>189</v>
      </c>
      <c r="B55" s="349"/>
      <c r="C55" s="341">
        <v>10593</v>
      </c>
      <c r="D55" s="1083">
        <v>28332</v>
      </c>
      <c r="E55" s="341">
        <v>20163</v>
      </c>
      <c r="F55" s="575">
        <v>227730</v>
      </c>
      <c r="G55" s="351">
        <v>52146</v>
      </c>
      <c r="H55" s="343">
        <v>82017</v>
      </c>
      <c r="I55" s="343">
        <v>-11574</v>
      </c>
      <c r="J55" s="343">
        <v>732765</v>
      </c>
      <c r="K55" s="343">
        <v>-12089</v>
      </c>
      <c r="L55" s="343">
        <v>319630</v>
      </c>
      <c r="M55" s="354">
        <v>197858</v>
      </c>
      <c r="N55" s="354">
        <v>463732</v>
      </c>
      <c r="O55" s="343"/>
      <c r="P55" s="343">
        <v>-41729</v>
      </c>
      <c r="Q55" s="359">
        <v>4939</v>
      </c>
      <c r="R55" s="359">
        <v>8945</v>
      </c>
      <c r="S55" s="343"/>
      <c r="T55" s="343"/>
      <c r="U55" s="343"/>
      <c r="V55" s="343"/>
      <c r="W55" s="343">
        <v>768691</v>
      </c>
      <c r="X55" s="343">
        <v>956521</v>
      </c>
      <c r="Y55" s="343">
        <v>244789</v>
      </c>
      <c r="Z55" s="343">
        <v>1578761</v>
      </c>
      <c r="AA55" s="361"/>
      <c r="AB55" s="361"/>
      <c r="AC55" s="343">
        <v>67876</v>
      </c>
      <c r="AD55" s="343">
        <v>241430</v>
      </c>
      <c r="AE55" s="343">
        <v>1737123</v>
      </c>
      <c r="AF55" s="343">
        <v>4321822</v>
      </c>
      <c r="AG55" s="343"/>
      <c r="AH55" s="343">
        <v>22497702</v>
      </c>
      <c r="AI55" s="343">
        <v>311763</v>
      </c>
      <c r="AJ55" s="343">
        <v>1459577</v>
      </c>
      <c r="AK55" s="343">
        <v>-105075</v>
      </c>
      <c r="AL55" s="343">
        <v>632971</v>
      </c>
      <c r="AM55" s="363"/>
      <c r="AN55" s="363"/>
      <c r="AO55" s="1088">
        <v>3374425</v>
      </c>
      <c r="AP55" s="1088">
        <v>9750207</v>
      </c>
      <c r="AQ55" s="364">
        <v>320797</v>
      </c>
      <c r="AR55" s="364">
        <v>320797</v>
      </c>
      <c r="AS55" s="361">
        <v>137459</v>
      </c>
      <c r="AT55" s="361">
        <v>323801</v>
      </c>
      <c r="AU55" s="343">
        <v>-183905</v>
      </c>
      <c r="AV55" s="343">
        <v>-464017</v>
      </c>
      <c r="AW55" s="351"/>
      <c r="AX55" s="343"/>
    </row>
    <row r="56" spans="1:50" s="645" customFormat="1" ht="18">
      <c r="A56" s="634" t="s">
        <v>239</v>
      </c>
      <c r="B56" s="635"/>
      <c r="C56" s="636">
        <v>645638</v>
      </c>
      <c r="D56" s="1085">
        <v>1859781</v>
      </c>
      <c r="E56" s="636">
        <v>-19813</v>
      </c>
      <c r="F56" s="637">
        <v>127944</v>
      </c>
      <c r="G56" s="636">
        <v>92397</v>
      </c>
      <c r="H56" s="636">
        <v>193901</v>
      </c>
      <c r="I56" s="636">
        <v>89008</v>
      </c>
      <c r="J56" s="636">
        <v>1111281</v>
      </c>
      <c r="K56" s="636">
        <v>-462047</v>
      </c>
      <c r="L56" s="636">
        <v>-876327</v>
      </c>
      <c r="M56" s="636"/>
      <c r="N56" s="636"/>
      <c r="O56" s="636">
        <v>391026</v>
      </c>
      <c r="P56" s="636">
        <v>1288752</v>
      </c>
      <c r="Q56" s="636">
        <v>7543</v>
      </c>
      <c r="R56" s="636">
        <v>14678</v>
      </c>
      <c r="S56" s="636"/>
      <c r="T56" s="636"/>
      <c r="U56" s="636"/>
      <c r="V56" s="636"/>
      <c r="W56" s="636">
        <v>2468878</v>
      </c>
      <c r="X56" s="636">
        <v>8353816</v>
      </c>
      <c r="Y56" s="636">
        <v>3870242</v>
      </c>
      <c r="Z56" s="636">
        <v>12858697</v>
      </c>
      <c r="AA56" s="636">
        <v>336748</v>
      </c>
      <c r="AB56" s="636">
        <v>969520</v>
      </c>
      <c r="AC56" s="636">
        <v>353692</v>
      </c>
      <c r="AD56" s="636">
        <v>412115</v>
      </c>
      <c r="AE56" s="636">
        <v>1737123</v>
      </c>
      <c r="AF56" s="636">
        <v>4321822</v>
      </c>
      <c r="AG56" s="636"/>
      <c r="AH56" s="636">
        <v>2577503</v>
      </c>
      <c r="AI56" s="636">
        <v>368290</v>
      </c>
      <c r="AJ56" s="636">
        <v>1768891</v>
      </c>
      <c r="AK56" s="636">
        <v>-178553</v>
      </c>
      <c r="AL56" s="636">
        <v>647916</v>
      </c>
      <c r="AM56" s="636"/>
      <c r="AN56" s="636"/>
      <c r="AO56" s="636">
        <v>6081828</v>
      </c>
      <c r="AP56" s="636">
        <v>12351343</v>
      </c>
      <c r="AQ56" s="636">
        <v>320797</v>
      </c>
      <c r="AR56" s="636">
        <v>320797</v>
      </c>
      <c r="AS56" s="636">
        <v>331945</v>
      </c>
      <c r="AT56" s="636">
        <v>926219</v>
      </c>
      <c r="AU56" s="636">
        <v>-203333</v>
      </c>
      <c r="AV56" s="636">
        <v>-317043</v>
      </c>
      <c r="AW56" s="636"/>
      <c r="AX56" s="636"/>
    </row>
    <row r="57" spans="1:50" ht="17.25">
      <c r="A57" s="284" t="s">
        <v>190</v>
      </c>
      <c r="B57" s="349"/>
      <c r="C57" s="342">
        <f>8139+328</f>
        <v>8467</v>
      </c>
      <c r="D57" s="1084">
        <f>25500+974</f>
        <v>26474</v>
      </c>
      <c r="E57" s="342">
        <v>220</v>
      </c>
      <c r="F57" s="576">
        <v>799</v>
      </c>
      <c r="G57" s="352">
        <v>7718</v>
      </c>
      <c r="H57" s="344">
        <v>9302</v>
      </c>
      <c r="I57" s="344">
        <v>301317</v>
      </c>
      <c r="J57" s="344">
        <v>744564</v>
      </c>
      <c r="K57" s="344"/>
      <c r="L57" s="344"/>
      <c r="M57" s="355">
        <v>3744</v>
      </c>
      <c r="N57" s="355">
        <v>10944</v>
      </c>
      <c r="O57" s="344">
        <v>36</v>
      </c>
      <c r="P57" s="344">
        <v>103</v>
      </c>
      <c r="Q57" s="92">
        <v>22</v>
      </c>
      <c r="R57" s="92">
        <v>235</v>
      </c>
      <c r="S57" s="344"/>
      <c r="T57" s="344"/>
      <c r="U57" s="344">
        <f>1313+2859</f>
        <v>4172</v>
      </c>
      <c r="V57" s="344">
        <f>4076+7535</f>
        <v>11611</v>
      </c>
      <c r="W57" s="344">
        <f>139711+2290679</f>
        <v>2430390</v>
      </c>
      <c r="X57" s="344">
        <f>383080+5669738</f>
        <v>6052818</v>
      </c>
      <c r="Y57" s="344">
        <v>177832</v>
      </c>
      <c r="Z57" s="344">
        <v>524593</v>
      </c>
      <c r="AA57" s="360"/>
      <c r="AB57" s="360"/>
      <c r="AC57" s="344"/>
      <c r="AD57" s="344"/>
      <c r="AE57" s="362">
        <v>78287</v>
      </c>
      <c r="AF57" s="362">
        <v>179628</v>
      </c>
      <c r="AG57" s="344"/>
      <c r="AH57" s="344">
        <v>11983</v>
      </c>
      <c r="AI57" s="344">
        <v>7091</v>
      </c>
      <c r="AJ57" s="344">
        <v>22426</v>
      </c>
      <c r="AK57" s="344">
        <v>1931</v>
      </c>
      <c r="AL57" s="344">
        <v>4724</v>
      </c>
      <c r="AM57" s="363"/>
      <c r="AN57" s="363"/>
      <c r="AO57" s="1088">
        <v>246849</v>
      </c>
      <c r="AP57" s="1088">
        <v>438462</v>
      </c>
      <c r="AQ57" s="364">
        <v>515</v>
      </c>
      <c r="AR57" s="364">
        <v>2586</v>
      </c>
      <c r="AS57" s="343">
        <v>33</v>
      </c>
      <c r="AT57" s="343">
        <v>48</v>
      </c>
      <c r="AU57" s="344"/>
      <c r="AV57" s="344"/>
      <c r="AW57" s="352">
        <v>5623539</v>
      </c>
      <c r="AX57" s="344">
        <v>14575372</v>
      </c>
    </row>
    <row r="58" spans="1:50" ht="16.5">
      <c r="A58" s="284" t="s">
        <v>191</v>
      </c>
      <c r="B58" s="349"/>
      <c r="C58" s="341"/>
      <c r="D58" s="1083"/>
      <c r="E58" s="341"/>
      <c r="F58" s="575"/>
      <c r="G58" s="351"/>
      <c r="H58" s="343"/>
      <c r="I58" s="343"/>
      <c r="J58" s="343"/>
      <c r="K58" s="343"/>
      <c r="L58" s="343"/>
      <c r="M58" s="354"/>
      <c r="N58" s="354"/>
      <c r="O58" s="343"/>
      <c r="P58" s="343"/>
      <c r="Q58" s="359"/>
      <c r="R58" s="359"/>
      <c r="S58" s="343"/>
      <c r="T58" s="343"/>
      <c r="U58" s="343"/>
      <c r="V58" s="343"/>
      <c r="W58" s="343"/>
      <c r="X58" s="343"/>
      <c r="Y58" s="343"/>
      <c r="Z58" s="343"/>
      <c r="AA58" s="361"/>
      <c r="AB58" s="361"/>
      <c r="AC58" s="343"/>
      <c r="AD58" s="343"/>
      <c r="AE58" s="343"/>
      <c r="AF58" s="343"/>
      <c r="AG58" s="343"/>
      <c r="AH58" s="343">
        <v>12468817</v>
      </c>
      <c r="AI58" s="343"/>
      <c r="AJ58" s="343"/>
      <c r="AK58" s="343"/>
      <c r="AL58" s="343"/>
      <c r="AM58" s="363"/>
      <c r="AN58" s="363"/>
      <c r="AO58" s="1089"/>
      <c r="AP58" s="1089"/>
      <c r="AQ58" s="364">
        <v>76520</v>
      </c>
      <c r="AR58" s="364">
        <v>835499</v>
      </c>
      <c r="AS58" s="361"/>
      <c r="AT58" s="361"/>
      <c r="AU58" s="343"/>
      <c r="AV58" s="343"/>
      <c r="AW58" s="351"/>
      <c r="AX58" s="343"/>
    </row>
    <row r="59" spans="1:50" ht="17.25" thickBot="1">
      <c r="A59" s="501" t="s">
        <v>192</v>
      </c>
      <c r="B59" s="502"/>
      <c r="C59" s="1081">
        <v>645638</v>
      </c>
      <c r="D59" s="1086">
        <v>1859781</v>
      </c>
      <c r="E59" s="1081">
        <v>-19813</v>
      </c>
      <c r="F59" s="577">
        <v>127944</v>
      </c>
      <c r="G59" s="504">
        <v>92388</v>
      </c>
      <c r="H59" s="503">
        <v>193892</v>
      </c>
      <c r="I59" s="503">
        <v>-11574</v>
      </c>
      <c r="J59" s="503">
        <v>732765</v>
      </c>
      <c r="K59" s="503"/>
      <c r="L59" s="503"/>
      <c r="M59" s="505">
        <v>489059</v>
      </c>
      <c r="N59" s="505">
        <v>1326679</v>
      </c>
      <c r="O59" s="503">
        <v>391026</v>
      </c>
      <c r="P59" s="503">
        <v>1288752</v>
      </c>
      <c r="Q59" s="506">
        <v>7543</v>
      </c>
      <c r="R59" s="506">
        <v>14678</v>
      </c>
      <c r="S59" s="503"/>
      <c r="T59" s="503"/>
      <c r="U59" s="503">
        <v>-27575</v>
      </c>
      <c r="V59" s="503">
        <v>36931</v>
      </c>
      <c r="W59" s="503">
        <v>2459678</v>
      </c>
      <c r="X59" s="503">
        <v>8353816</v>
      </c>
      <c r="Y59" s="503">
        <v>3870242</v>
      </c>
      <c r="Z59" s="503">
        <v>12858697</v>
      </c>
      <c r="AA59" s="507"/>
      <c r="AB59" s="507"/>
      <c r="AC59" s="503"/>
      <c r="AD59" s="503"/>
      <c r="AE59" s="503">
        <v>1737123</v>
      </c>
      <c r="AF59" s="503">
        <v>4321822</v>
      </c>
      <c r="AG59" s="503"/>
      <c r="AH59" s="503">
        <v>27493008</v>
      </c>
      <c r="AI59" s="503">
        <v>368290</v>
      </c>
      <c r="AJ59" s="503">
        <v>1768891</v>
      </c>
      <c r="AK59" s="503">
        <v>-178553</v>
      </c>
      <c r="AL59" s="503">
        <v>647916</v>
      </c>
      <c r="AM59" s="508"/>
      <c r="AN59" s="508"/>
      <c r="AO59" s="1093">
        <v>6081828</v>
      </c>
      <c r="AP59" s="1093">
        <v>12351343</v>
      </c>
      <c r="AQ59" s="509">
        <v>22395</v>
      </c>
      <c r="AR59" s="509">
        <v>239165</v>
      </c>
      <c r="AS59" s="507">
        <v>295970</v>
      </c>
      <c r="AT59" s="507">
        <v>632737</v>
      </c>
      <c r="AU59" s="509">
        <v>-203333</v>
      </c>
      <c r="AV59" s="509">
        <v>-317043</v>
      </c>
      <c r="AW59" s="504"/>
      <c r="AX59" s="503"/>
    </row>
    <row r="60" spans="1:50" s="645" customFormat="1" ht="18.75" thickBot="1">
      <c r="A60" s="646" t="s">
        <v>193</v>
      </c>
      <c r="B60" s="647"/>
      <c r="C60" s="1079">
        <v>654105</v>
      </c>
      <c r="D60" s="648">
        <v>1886255</v>
      </c>
      <c r="E60" s="1079">
        <v>-19593</v>
      </c>
      <c r="F60" s="648">
        <v>128743</v>
      </c>
      <c r="G60" s="650">
        <v>100106</v>
      </c>
      <c r="H60" s="649">
        <v>203194</v>
      </c>
      <c r="I60" s="649">
        <v>289743</v>
      </c>
      <c r="J60" s="649">
        <v>9747909</v>
      </c>
      <c r="K60" s="649"/>
      <c r="L60" s="649"/>
      <c r="M60" s="651">
        <v>492803</v>
      </c>
      <c r="N60" s="651">
        <v>1337623</v>
      </c>
      <c r="O60" s="649">
        <v>391062</v>
      </c>
      <c r="P60" s="649">
        <v>1288855</v>
      </c>
      <c r="Q60" s="652">
        <v>7565</v>
      </c>
      <c r="R60" s="652">
        <v>14913</v>
      </c>
      <c r="S60" s="649"/>
      <c r="T60" s="649"/>
      <c r="U60" s="649">
        <v>-23403</v>
      </c>
      <c r="V60" s="649">
        <v>48542</v>
      </c>
      <c r="W60" s="649">
        <v>4890068</v>
      </c>
      <c r="X60" s="649">
        <v>14406634</v>
      </c>
      <c r="Y60" s="649">
        <v>4048074</v>
      </c>
      <c r="Z60" s="649">
        <v>13383290</v>
      </c>
      <c r="AA60" s="653"/>
      <c r="AB60" s="653"/>
      <c r="AC60" s="649"/>
      <c r="AD60" s="649"/>
      <c r="AE60" s="649">
        <v>1815410</v>
      </c>
      <c r="AF60" s="649">
        <v>4501450</v>
      </c>
      <c r="AG60" s="649"/>
      <c r="AH60" s="649">
        <v>39973808</v>
      </c>
      <c r="AI60" s="649">
        <v>375381</v>
      </c>
      <c r="AJ60" s="649">
        <v>1791317</v>
      </c>
      <c r="AK60" s="649">
        <v>-176622</v>
      </c>
      <c r="AL60" s="649">
        <v>652640</v>
      </c>
      <c r="AM60" s="654"/>
      <c r="AN60" s="654"/>
      <c r="AO60" s="1094">
        <v>6328678</v>
      </c>
      <c r="AP60" s="1094">
        <v>12789806</v>
      </c>
      <c r="AQ60" s="655">
        <v>99430</v>
      </c>
      <c r="AR60" s="655">
        <v>1077250</v>
      </c>
      <c r="AS60" s="653">
        <v>296002</v>
      </c>
      <c r="AT60" s="653">
        <v>632785</v>
      </c>
      <c r="AU60" s="649">
        <f>AU59</f>
        <v>-203333</v>
      </c>
      <c r="AV60" s="649">
        <f>AV59</f>
        <v>-317043</v>
      </c>
      <c r="AW60" s="650"/>
      <c r="AX60" s="649"/>
    </row>
    <row r="61" spans="41:42" ht="16.5">
      <c r="AO61" s="339"/>
      <c r="AP61" s="339"/>
    </row>
    <row r="62" spans="41:42" ht="16.5">
      <c r="AO62" s="339"/>
      <c r="AP62" s="339"/>
    </row>
  </sheetData>
  <sheetProtection/>
  <mergeCells count="26"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Y2:Z2"/>
    <mergeCell ref="W2:X2"/>
    <mergeCell ref="U2:V2"/>
    <mergeCell ref="S2:T2"/>
    <mergeCell ref="AG2:AH2"/>
    <mergeCell ref="AE2:AF2"/>
    <mergeCell ref="AC2:AD2"/>
    <mergeCell ref="AA2:AB2"/>
    <mergeCell ref="AU2:AV2"/>
    <mergeCell ref="AW2:AX2"/>
    <mergeCell ref="AI2:AJ2"/>
    <mergeCell ref="AK2:AL2"/>
    <mergeCell ref="AM2:AN2"/>
    <mergeCell ref="AO2:AP2"/>
    <mergeCell ref="AQ2:AR2"/>
    <mergeCell ref="AS2:AT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V12"/>
  <sheetViews>
    <sheetView zoomScale="140" zoomScaleNormal="140" zoomScalePageLayoutView="0" workbookViewId="0" topLeftCell="A1">
      <selection activeCell="K14" sqref="K14"/>
    </sheetView>
  </sheetViews>
  <sheetFormatPr defaultColWidth="8.8515625" defaultRowHeight="15"/>
  <cols>
    <col min="1" max="144" width="8.8515625" style="78" customWidth="1"/>
    <col min="145" max="146" width="8.8515625" style="144" customWidth="1"/>
    <col min="147" max="16384" width="8.8515625" style="78" customWidth="1"/>
  </cols>
  <sheetData>
    <row r="1" spans="1:144" ht="14.25">
      <c r="A1" s="869" t="s">
        <v>219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J1" s="869"/>
      <c r="AK1" s="869"/>
      <c r="AL1" s="869"/>
      <c r="AM1" s="869"/>
      <c r="AN1" s="869"/>
      <c r="AO1" s="869"/>
      <c r="AP1" s="869"/>
      <c r="AQ1" s="869"/>
      <c r="AR1" s="869"/>
      <c r="AS1" s="869"/>
      <c r="AT1" s="869"/>
      <c r="AU1" s="869"/>
      <c r="AV1" s="869"/>
      <c r="AW1" s="869"/>
      <c r="AX1" s="869"/>
      <c r="AY1" s="869"/>
      <c r="AZ1" s="869"/>
      <c r="BA1" s="869"/>
      <c r="BB1" s="869"/>
      <c r="BC1" s="869"/>
      <c r="BD1" s="869"/>
      <c r="BE1" s="869"/>
      <c r="BF1" s="869"/>
      <c r="BG1" s="869"/>
      <c r="BH1" s="869"/>
      <c r="BI1" s="869"/>
      <c r="BJ1" s="869"/>
      <c r="BK1" s="869"/>
      <c r="BL1" s="869"/>
      <c r="BM1" s="869"/>
      <c r="BN1" s="869"/>
      <c r="BO1" s="869"/>
      <c r="BP1" s="869"/>
      <c r="BQ1" s="869"/>
      <c r="BR1" s="869"/>
      <c r="BS1" s="869"/>
      <c r="BT1" s="869"/>
      <c r="BU1" s="869"/>
      <c r="BV1" s="869"/>
      <c r="BW1" s="869"/>
      <c r="BX1" s="869"/>
      <c r="BY1" s="869"/>
      <c r="BZ1" s="869"/>
      <c r="CA1" s="869"/>
      <c r="CB1" s="869"/>
      <c r="CC1" s="869"/>
      <c r="CD1" s="869"/>
      <c r="CE1" s="869"/>
      <c r="CF1" s="869"/>
      <c r="CG1" s="869"/>
      <c r="CH1" s="869"/>
      <c r="CI1" s="869"/>
      <c r="CJ1" s="869"/>
      <c r="CK1" s="869"/>
      <c r="CL1" s="869"/>
      <c r="CM1" s="869"/>
      <c r="CN1" s="869"/>
      <c r="CO1" s="869"/>
      <c r="CP1" s="869"/>
      <c r="CQ1" s="869"/>
      <c r="CR1" s="869"/>
      <c r="CS1" s="869"/>
      <c r="CT1" s="869"/>
      <c r="CU1" s="869"/>
      <c r="CV1" s="869"/>
      <c r="CW1" s="869"/>
      <c r="CX1" s="869"/>
      <c r="CY1" s="869"/>
      <c r="CZ1" s="869"/>
      <c r="DA1" s="869"/>
      <c r="DB1" s="869"/>
      <c r="DC1" s="869"/>
      <c r="DD1" s="869"/>
      <c r="DE1" s="869"/>
      <c r="DF1" s="869"/>
      <c r="DG1" s="869"/>
      <c r="DH1" s="869"/>
      <c r="DI1" s="869"/>
      <c r="DJ1" s="869"/>
      <c r="DK1" s="869"/>
      <c r="DL1" s="869"/>
      <c r="DM1" s="869"/>
      <c r="DN1" s="869"/>
      <c r="DO1" s="869"/>
      <c r="DP1" s="869"/>
      <c r="DQ1" s="869"/>
      <c r="DR1" s="869"/>
      <c r="DS1" s="869"/>
      <c r="DT1" s="869"/>
      <c r="DU1" s="869"/>
      <c r="DV1" s="869"/>
      <c r="DW1" s="869"/>
      <c r="DX1" s="869"/>
      <c r="DY1" s="869"/>
      <c r="DZ1" s="869"/>
      <c r="EA1" s="869"/>
      <c r="EB1" s="869"/>
      <c r="EC1" s="869"/>
      <c r="ED1" s="869"/>
      <c r="EE1" s="869"/>
      <c r="EF1" s="869"/>
      <c r="EG1" s="869"/>
      <c r="EH1" s="869"/>
      <c r="EI1" s="869"/>
      <c r="EJ1" s="869"/>
      <c r="EK1" s="869"/>
      <c r="EL1" s="869"/>
      <c r="EM1" s="869"/>
      <c r="EN1" s="869"/>
    </row>
    <row r="2" spans="1:144" ht="15" thickBot="1">
      <c r="A2" s="1225" t="s">
        <v>241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  <c r="Q2" s="1225"/>
      <c r="R2" s="1225"/>
      <c r="S2" s="1225"/>
      <c r="T2" s="1225"/>
      <c r="U2" s="1225"/>
      <c r="V2" s="1225"/>
      <c r="W2" s="1225"/>
      <c r="X2" s="1225"/>
      <c r="Y2" s="1225"/>
      <c r="Z2" s="1225"/>
      <c r="AA2" s="1225"/>
      <c r="AB2" s="1225"/>
      <c r="AC2" s="1225"/>
      <c r="AD2" s="1225"/>
      <c r="AE2" s="1225"/>
      <c r="AF2" s="1225"/>
      <c r="AG2" s="1225"/>
      <c r="AH2" s="1225"/>
      <c r="AI2" s="1225"/>
      <c r="AJ2" s="1225"/>
      <c r="AK2" s="1225"/>
      <c r="AL2" s="1225"/>
      <c r="AM2" s="1225"/>
      <c r="AN2" s="1225"/>
      <c r="AO2" s="1225"/>
      <c r="AP2" s="1225"/>
      <c r="AQ2" s="1225"/>
      <c r="AR2" s="1225"/>
      <c r="AS2" s="1225"/>
      <c r="AT2" s="1225"/>
      <c r="AU2" s="1225"/>
      <c r="AV2" s="1225"/>
      <c r="AW2" s="1225"/>
      <c r="AX2" s="1225"/>
      <c r="AY2" s="1225"/>
      <c r="AZ2" s="1225"/>
      <c r="BA2" s="1225"/>
      <c r="BB2" s="1225"/>
      <c r="BC2" s="1225"/>
      <c r="BD2" s="1225"/>
      <c r="BE2" s="1225"/>
      <c r="BF2" s="1225"/>
      <c r="BG2" s="1225"/>
      <c r="BH2" s="1225"/>
      <c r="BI2" s="1225"/>
      <c r="BJ2" s="1225"/>
      <c r="BK2" s="1225"/>
      <c r="BL2" s="1225"/>
      <c r="BM2" s="1225"/>
      <c r="BN2" s="1225"/>
      <c r="BO2" s="1225"/>
      <c r="BP2" s="1225"/>
      <c r="BQ2" s="1225"/>
      <c r="BR2" s="1225"/>
      <c r="BS2" s="1225"/>
      <c r="BT2" s="1225"/>
      <c r="BU2" s="1225"/>
      <c r="BV2" s="1225"/>
      <c r="BW2" s="1225"/>
      <c r="BX2" s="1225"/>
      <c r="BY2" s="1225"/>
      <c r="BZ2" s="1225"/>
      <c r="CA2" s="1225"/>
      <c r="CB2" s="1225"/>
      <c r="CC2" s="1225"/>
      <c r="CD2" s="1225"/>
      <c r="CE2" s="1225"/>
      <c r="CF2" s="1225"/>
      <c r="CG2" s="1225"/>
      <c r="CH2" s="1225"/>
      <c r="CI2" s="1225"/>
      <c r="CJ2" s="1225"/>
      <c r="CK2" s="1225"/>
      <c r="CL2" s="1225"/>
      <c r="CM2" s="1225"/>
      <c r="CN2" s="1225"/>
      <c r="CO2" s="1225"/>
      <c r="CP2" s="1225"/>
      <c r="CQ2" s="1225"/>
      <c r="CR2" s="1225"/>
      <c r="CS2" s="1225"/>
      <c r="CT2" s="1225"/>
      <c r="CU2" s="1225"/>
      <c r="CV2" s="1225"/>
      <c r="CW2" s="1225"/>
      <c r="CX2" s="1225"/>
      <c r="CY2" s="1225"/>
      <c r="CZ2" s="1225"/>
      <c r="DA2" s="1225"/>
      <c r="DB2" s="1225"/>
      <c r="DC2" s="1225"/>
      <c r="DD2" s="1225"/>
      <c r="DE2" s="1225"/>
      <c r="DF2" s="1225"/>
      <c r="DG2" s="1225"/>
      <c r="DH2" s="1225"/>
      <c r="DI2" s="1225"/>
      <c r="DJ2" s="1225"/>
      <c r="DK2" s="1225"/>
      <c r="DL2" s="1225"/>
      <c r="DM2" s="1225"/>
      <c r="DN2" s="1225"/>
      <c r="DO2" s="1225"/>
      <c r="DP2" s="1225"/>
      <c r="DQ2" s="1225"/>
      <c r="DR2" s="1225"/>
      <c r="DS2" s="1225"/>
      <c r="DT2" s="1225"/>
      <c r="DU2" s="1225"/>
      <c r="DV2" s="1225"/>
      <c r="DW2" s="1225"/>
      <c r="DX2" s="1225"/>
      <c r="DY2" s="1225"/>
      <c r="DZ2" s="1225"/>
      <c r="EA2" s="1225"/>
      <c r="EB2" s="1225"/>
      <c r="EC2" s="1225"/>
      <c r="ED2" s="1225"/>
      <c r="EE2" s="1225"/>
      <c r="EF2" s="1225"/>
      <c r="EG2" s="1225"/>
      <c r="EH2" s="1225"/>
      <c r="EI2" s="1225"/>
      <c r="EJ2" s="1225"/>
      <c r="EK2" s="1225"/>
      <c r="EL2" s="1225"/>
      <c r="EM2" s="1225"/>
      <c r="EN2" s="1225"/>
    </row>
    <row r="3" spans="1:150" s="888" customFormat="1" ht="27.75" customHeight="1" thickBot="1">
      <c r="A3" s="1226" t="s">
        <v>225</v>
      </c>
      <c r="B3" s="1227"/>
      <c r="C3" s="1227"/>
      <c r="D3" s="1227"/>
      <c r="E3" s="1227"/>
      <c r="F3" s="1228"/>
      <c r="G3" s="1229" t="s">
        <v>118</v>
      </c>
      <c r="H3" s="1230"/>
      <c r="I3" s="1230"/>
      <c r="J3" s="1230"/>
      <c r="K3" s="1230"/>
      <c r="L3" s="1231"/>
      <c r="M3" s="1232" t="s">
        <v>119</v>
      </c>
      <c r="N3" s="1232"/>
      <c r="O3" s="1232"/>
      <c r="P3" s="1232"/>
      <c r="Q3" s="1232"/>
      <c r="R3" s="1233"/>
      <c r="S3" s="1229" t="s">
        <v>227</v>
      </c>
      <c r="T3" s="1230"/>
      <c r="U3" s="1230"/>
      <c r="V3" s="1230"/>
      <c r="W3" s="1230"/>
      <c r="X3" s="1231"/>
      <c r="Y3" s="1229" t="s">
        <v>228</v>
      </c>
      <c r="Z3" s="1230"/>
      <c r="AA3" s="1230"/>
      <c r="AB3" s="1230"/>
      <c r="AC3" s="1230"/>
      <c r="AD3" s="1231"/>
      <c r="AE3" s="1229" t="s">
        <v>233</v>
      </c>
      <c r="AF3" s="1230"/>
      <c r="AG3" s="1230"/>
      <c r="AH3" s="1230"/>
      <c r="AI3" s="1230"/>
      <c r="AJ3" s="1231"/>
      <c r="AK3" s="1229" t="s">
        <v>229</v>
      </c>
      <c r="AL3" s="1230"/>
      <c r="AM3" s="1230"/>
      <c r="AN3" s="1230"/>
      <c r="AO3" s="1230"/>
      <c r="AP3" s="1231"/>
      <c r="AQ3" s="1229" t="s">
        <v>145</v>
      </c>
      <c r="AR3" s="1230"/>
      <c r="AS3" s="1230"/>
      <c r="AT3" s="1230"/>
      <c r="AU3" s="1230"/>
      <c r="AV3" s="1231"/>
      <c r="AW3" s="1234" t="s">
        <v>230</v>
      </c>
      <c r="AX3" s="1235"/>
      <c r="AY3" s="1235"/>
      <c r="AZ3" s="1235"/>
      <c r="BA3" s="1235"/>
      <c r="BB3" s="1236"/>
      <c r="BC3" s="1237" t="s">
        <v>231</v>
      </c>
      <c r="BD3" s="1238"/>
      <c r="BE3" s="1238"/>
      <c r="BF3" s="1238"/>
      <c r="BG3" s="1238"/>
      <c r="BH3" s="1239"/>
      <c r="BI3" s="887"/>
      <c r="BJ3" s="1240" t="s">
        <v>232</v>
      </c>
      <c r="BK3" s="1238"/>
      <c r="BL3" s="1238"/>
      <c r="BM3" s="1238"/>
      <c r="BN3" s="1239"/>
      <c r="BO3" s="1229" t="s">
        <v>144</v>
      </c>
      <c r="BP3" s="1230"/>
      <c r="BQ3" s="1230"/>
      <c r="BR3" s="1230"/>
      <c r="BS3" s="1230"/>
      <c r="BT3" s="1231"/>
      <c r="BU3" s="1241" t="s">
        <v>141</v>
      </c>
      <c r="BV3" s="1242"/>
      <c r="BW3" s="1242"/>
      <c r="BX3" s="1242"/>
      <c r="BY3" s="1242"/>
      <c r="BZ3" s="1243"/>
      <c r="CA3" s="1237" t="s">
        <v>130</v>
      </c>
      <c r="CB3" s="1238"/>
      <c r="CC3" s="1238"/>
      <c r="CD3" s="1238"/>
      <c r="CE3" s="1238"/>
      <c r="CF3" s="1239"/>
      <c r="CG3" s="1244" t="s">
        <v>131</v>
      </c>
      <c r="CH3" s="1245"/>
      <c r="CI3" s="1245"/>
      <c r="CJ3" s="1245"/>
      <c r="CK3" s="1245"/>
      <c r="CL3" s="1246"/>
      <c r="CM3" s="1229" t="s">
        <v>132</v>
      </c>
      <c r="CN3" s="1230"/>
      <c r="CO3" s="1230"/>
      <c r="CP3" s="1230"/>
      <c r="CQ3" s="1230"/>
      <c r="CR3" s="1231"/>
      <c r="CS3" s="1237" t="s">
        <v>236</v>
      </c>
      <c r="CT3" s="1238"/>
      <c r="CU3" s="1238"/>
      <c r="CV3" s="1238"/>
      <c r="CW3" s="1238"/>
      <c r="CX3" s="1239"/>
      <c r="CY3" s="1237" t="s">
        <v>143</v>
      </c>
      <c r="CZ3" s="1238"/>
      <c r="DA3" s="1238"/>
      <c r="DB3" s="1238"/>
      <c r="DC3" s="1238"/>
      <c r="DD3" s="1239"/>
      <c r="DE3" s="1244" t="s">
        <v>135</v>
      </c>
      <c r="DF3" s="1245"/>
      <c r="DG3" s="1245"/>
      <c r="DH3" s="1245"/>
      <c r="DI3" s="1245"/>
      <c r="DJ3" s="1246"/>
      <c r="DK3" s="1229" t="s">
        <v>142</v>
      </c>
      <c r="DL3" s="1230"/>
      <c r="DM3" s="1230"/>
      <c r="DN3" s="1230"/>
      <c r="DO3" s="1230"/>
      <c r="DP3" s="1231"/>
      <c r="DQ3" s="1229" t="s">
        <v>234</v>
      </c>
      <c r="DR3" s="1230"/>
      <c r="DS3" s="1230"/>
      <c r="DT3" s="1230"/>
      <c r="DU3" s="1230"/>
      <c r="DV3" s="1231"/>
      <c r="DW3" s="1229" t="s">
        <v>138</v>
      </c>
      <c r="DX3" s="1230"/>
      <c r="DY3" s="1230"/>
      <c r="DZ3" s="1230"/>
      <c r="EA3" s="1230"/>
      <c r="EB3" s="1231"/>
      <c r="EC3" s="1247" t="s">
        <v>139</v>
      </c>
      <c r="ED3" s="1248"/>
      <c r="EE3" s="1248"/>
      <c r="EF3" s="1248"/>
      <c r="EG3" s="1248"/>
      <c r="EH3" s="1249"/>
      <c r="EI3" s="1250" t="s">
        <v>140</v>
      </c>
      <c r="EJ3" s="1251"/>
      <c r="EK3" s="1251"/>
      <c r="EL3" s="1251"/>
      <c r="EM3" s="1251"/>
      <c r="EN3" s="1252"/>
      <c r="EO3" s="1250" t="s">
        <v>235</v>
      </c>
      <c r="EP3" s="1251"/>
      <c r="EQ3" s="1251"/>
      <c r="ER3" s="1251"/>
      <c r="ES3" s="1251"/>
      <c r="ET3" s="1252"/>
    </row>
    <row r="4" spans="1:150" s="886" customFormat="1" ht="16.5" customHeight="1" thickBot="1">
      <c r="A4" s="1253" t="s">
        <v>220</v>
      </c>
      <c r="B4" s="1254"/>
      <c r="C4" s="1255"/>
      <c r="D4" s="1254" t="s">
        <v>226</v>
      </c>
      <c r="E4" s="1254"/>
      <c r="F4" s="1255"/>
      <c r="G4" s="1256" t="s">
        <v>220</v>
      </c>
      <c r="H4" s="1257"/>
      <c r="I4" s="1258"/>
      <c r="J4" s="1257" t="s">
        <v>226</v>
      </c>
      <c r="K4" s="1257"/>
      <c r="L4" s="1258"/>
      <c r="M4" s="1253" t="s">
        <v>220</v>
      </c>
      <c r="N4" s="1254"/>
      <c r="O4" s="1255"/>
      <c r="P4" s="1253" t="s">
        <v>226</v>
      </c>
      <c r="Q4" s="1254"/>
      <c r="R4" s="1255"/>
      <c r="S4" s="1253" t="s">
        <v>220</v>
      </c>
      <c r="T4" s="1254"/>
      <c r="U4" s="1255"/>
      <c r="V4" s="1253" t="s">
        <v>226</v>
      </c>
      <c r="W4" s="1254"/>
      <c r="X4" s="1255"/>
      <c r="Y4" s="1253" t="s">
        <v>220</v>
      </c>
      <c r="Z4" s="1254"/>
      <c r="AA4" s="1255"/>
      <c r="AB4" s="1253" t="s">
        <v>226</v>
      </c>
      <c r="AC4" s="1254"/>
      <c r="AD4" s="1255"/>
      <c r="AE4" s="1253" t="s">
        <v>220</v>
      </c>
      <c r="AF4" s="1254"/>
      <c r="AG4" s="1255"/>
      <c r="AH4" s="1254" t="s">
        <v>226</v>
      </c>
      <c r="AI4" s="1254"/>
      <c r="AJ4" s="1255"/>
      <c r="AK4" s="1253" t="s">
        <v>220</v>
      </c>
      <c r="AL4" s="1254"/>
      <c r="AM4" s="1255"/>
      <c r="AN4" s="1254" t="s">
        <v>226</v>
      </c>
      <c r="AO4" s="1254"/>
      <c r="AP4" s="1255"/>
      <c r="AQ4" s="1253" t="s">
        <v>220</v>
      </c>
      <c r="AR4" s="1254"/>
      <c r="AS4" s="1255"/>
      <c r="AT4" s="1253" t="s">
        <v>226</v>
      </c>
      <c r="AU4" s="1254"/>
      <c r="AV4" s="1255"/>
      <c r="AW4" s="1253" t="s">
        <v>220</v>
      </c>
      <c r="AX4" s="1254"/>
      <c r="AY4" s="1255"/>
      <c r="AZ4" s="1253" t="s">
        <v>226</v>
      </c>
      <c r="BA4" s="1254"/>
      <c r="BB4" s="1255"/>
      <c r="BC4" s="1253" t="s">
        <v>220</v>
      </c>
      <c r="BD4" s="1254"/>
      <c r="BE4" s="1255"/>
      <c r="BF4" s="1253" t="s">
        <v>226</v>
      </c>
      <c r="BG4" s="1254"/>
      <c r="BH4" s="1255"/>
      <c r="BI4" s="1253" t="s">
        <v>220</v>
      </c>
      <c r="BJ4" s="1254"/>
      <c r="BK4" s="1255"/>
      <c r="BL4" s="1253" t="s">
        <v>226</v>
      </c>
      <c r="BM4" s="1254"/>
      <c r="BN4" s="1255"/>
      <c r="BO4" s="1253" t="s">
        <v>220</v>
      </c>
      <c r="BP4" s="1254"/>
      <c r="BQ4" s="1255"/>
      <c r="BR4" s="1253" t="s">
        <v>226</v>
      </c>
      <c r="BS4" s="1254"/>
      <c r="BT4" s="1255"/>
      <c r="BU4" s="1253" t="s">
        <v>220</v>
      </c>
      <c r="BV4" s="1254"/>
      <c r="BW4" s="1255"/>
      <c r="BX4" s="1254" t="s">
        <v>226</v>
      </c>
      <c r="BY4" s="1254"/>
      <c r="BZ4" s="1255"/>
      <c r="CA4" s="1253" t="s">
        <v>220</v>
      </c>
      <c r="CB4" s="1254"/>
      <c r="CC4" s="1255"/>
      <c r="CD4" s="1253" t="s">
        <v>226</v>
      </c>
      <c r="CE4" s="1254"/>
      <c r="CF4" s="1255"/>
      <c r="CG4" s="1253" t="s">
        <v>220</v>
      </c>
      <c r="CH4" s="1254"/>
      <c r="CI4" s="1255"/>
      <c r="CJ4" s="1253" t="s">
        <v>226</v>
      </c>
      <c r="CK4" s="1254"/>
      <c r="CL4" s="1255"/>
      <c r="CM4" s="1253" t="s">
        <v>220</v>
      </c>
      <c r="CN4" s="1254"/>
      <c r="CO4" s="1255"/>
      <c r="CP4" s="1253" t="s">
        <v>226</v>
      </c>
      <c r="CQ4" s="1254"/>
      <c r="CR4" s="1255"/>
      <c r="CS4" s="1253" t="s">
        <v>220</v>
      </c>
      <c r="CT4" s="1254"/>
      <c r="CU4" s="1255"/>
      <c r="CV4" s="1253" t="s">
        <v>226</v>
      </c>
      <c r="CW4" s="1254"/>
      <c r="CX4" s="1255"/>
      <c r="CY4" s="1253" t="s">
        <v>220</v>
      </c>
      <c r="CZ4" s="1254"/>
      <c r="DA4" s="1255"/>
      <c r="DB4" s="1257" t="s">
        <v>226</v>
      </c>
      <c r="DC4" s="1257"/>
      <c r="DD4" s="1258"/>
      <c r="DE4" s="1253" t="s">
        <v>220</v>
      </c>
      <c r="DF4" s="1254"/>
      <c r="DG4" s="1255"/>
      <c r="DH4" s="1254" t="s">
        <v>226</v>
      </c>
      <c r="DI4" s="1254"/>
      <c r="DJ4" s="1255"/>
      <c r="DK4" s="1253" t="s">
        <v>220</v>
      </c>
      <c r="DL4" s="1254"/>
      <c r="DM4" s="1255"/>
      <c r="DN4" s="1254" t="s">
        <v>226</v>
      </c>
      <c r="DO4" s="1254"/>
      <c r="DP4" s="1255"/>
      <c r="DQ4" s="1254" t="s">
        <v>220</v>
      </c>
      <c r="DR4" s="1254"/>
      <c r="DS4" s="1255"/>
      <c r="DT4" s="1254" t="s">
        <v>226</v>
      </c>
      <c r="DU4" s="1254"/>
      <c r="DV4" s="1255"/>
      <c r="DW4" s="1253" t="s">
        <v>220</v>
      </c>
      <c r="DX4" s="1254"/>
      <c r="DY4" s="1255"/>
      <c r="DZ4" s="1253" t="s">
        <v>226</v>
      </c>
      <c r="EA4" s="1254"/>
      <c r="EB4" s="1255"/>
      <c r="EC4" s="1253" t="s">
        <v>220</v>
      </c>
      <c r="ED4" s="1254"/>
      <c r="EE4" s="1255"/>
      <c r="EF4" s="1254" t="s">
        <v>226</v>
      </c>
      <c r="EG4" s="1254"/>
      <c r="EH4" s="1255"/>
      <c r="EI4" s="1253" t="s">
        <v>220</v>
      </c>
      <c r="EJ4" s="1254"/>
      <c r="EK4" s="1255"/>
      <c r="EL4" s="1254" t="s">
        <v>226</v>
      </c>
      <c r="EM4" s="1254"/>
      <c r="EN4" s="1255"/>
      <c r="EO4" s="1253" t="s">
        <v>220</v>
      </c>
      <c r="EP4" s="1254"/>
      <c r="EQ4" s="1255"/>
      <c r="ER4" s="1254" t="s">
        <v>226</v>
      </c>
      <c r="ES4" s="1254"/>
      <c r="ET4" s="1255"/>
    </row>
    <row r="5" spans="1:150" s="886" customFormat="1" ht="27.75" thickBot="1">
      <c r="A5" s="870" t="s">
        <v>221</v>
      </c>
      <c r="B5" s="871" t="s">
        <v>222</v>
      </c>
      <c r="C5" s="872" t="s">
        <v>223</v>
      </c>
      <c r="D5" s="873" t="s">
        <v>221</v>
      </c>
      <c r="E5" s="873" t="s">
        <v>222</v>
      </c>
      <c r="F5" s="874" t="s">
        <v>224</v>
      </c>
      <c r="G5" s="875" t="s">
        <v>221</v>
      </c>
      <c r="H5" s="876" t="s">
        <v>222</v>
      </c>
      <c r="I5" s="877" t="s">
        <v>223</v>
      </c>
      <c r="J5" s="876" t="s">
        <v>221</v>
      </c>
      <c r="K5" s="876" t="s">
        <v>222</v>
      </c>
      <c r="L5" s="877" t="s">
        <v>224</v>
      </c>
      <c r="M5" s="875" t="s">
        <v>221</v>
      </c>
      <c r="N5" s="876" t="s">
        <v>222</v>
      </c>
      <c r="O5" s="877" t="s">
        <v>224</v>
      </c>
      <c r="P5" s="876" t="s">
        <v>221</v>
      </c>
      <c r="Q5" s="876" t="s">
        <v>222</v>
      </c>
      <c r="R5" s="877" t="s">
        <v>224</v>
      </c>
      <c r="S5" s="875" t="s">
        <v>221</v>
      </c>
      <c r="T5" s="876" t="s">
        <v>222</v>
      </c>
      <c r="U5" s="877" t="s">
        <v>224</v>
      </c>
      <c r="V5" s="875" t="s">
        <v>221</v>
      </c>
      <c r="W5" s="876" t="s">
        <v>222</v>
      </c>
      <c r="X5" s="877" t="s">
        <v>224</v>
      </c>
      <c r="Y5" s="875" t="s">
        <v>221</v>
      </c>
      <c r="Z5" s="876" t="s">
        <v>222</v>
      </c>
      <c r="AA5" s="877" t="s">
        <v>224</v>
      </c>
      <c r="AB5" s="875" t="s">
        <v>221</v>
      </c>
      <c r="AC5" s="876" t="s">
        <v>222</v>
      </c>
      <c r="AD5" s="877" t="s">
        <v>224</v>
      </c>
      <c r="AE5" s="875" t="s">
        <v>221</v>
      </c>
      <c r="AF5" s="876" t="s">
        <v>222</v>
      </c>
      <c r="AG5" s="877" t="s">
        <v>224</v>
      </c>
      <c r="AH5" s="876" t="s">
        <v>221</v>
      </c>
      <c r="AI5" s="876" t="s">
        <v>222</v>
      </c>
      <c r="AJ5" s="877" t="s">
        <v>224</v>
      </c>
      <c r="AK5" s="875" t="s">
        <v>221</v>
      </c>
      <c r="AL5" s="876" t="s">
        <v>222</v>
      </c>
      <c r="AM5" s="877" t="s">
        <v>224</v>
      </c>
      <c r="AN5" s="876" t="s">
        <v>221</v>
      </c>
      <c r="AO5" s="876" t="s">
        <v>222</v>
      </c>
      <c r="AP5" s="877" t="s">
        <v>224</v>
      </c>
      <c r="AQ5" s="875" t="s">
        <v>221</v>
      </c>
      <c r="AR5" s="876" t="s">
        <v>222</v>
      </c>
      <c r="AS5" s="877" t="s">
        <v>224</v>
      </c>
      <c r="AT5" s="875" t="s">
        <v>221</v>
      </c>
      <c r="AU5" s="876" t="s">
        <v>222</v>
      </c>
      <c r="AV5" s="877" t="s">
        <v>224</v>
      </c>
      <c r="AW5" s="875" t="s">
        <v>221</v>
      </c>
      <c r="AX5" s="876" t="s">
        <v>222</v>
      </c>
      <c r="AY5" s="877" t="s">
        <v>224</v>
      </c>
      <c r="AZ5" s="875" t="s">
        <v>221</v>
      </c>
      <c r="BA5" s="876" t="s">
        <v>222</v>
      </c>
      <c r="BB5" s="877" t="s">
        <v>224</v>
      </c>
      <c r="BC5" s="875" t="s">
        <v>221</v>
      </c>
      <c r="BD5" s="876" t="s">
        <v>222</v>
      </c>
      <c r="BE5" s="877" t="s">
        <v>224</v>
      </c>
      <c r="BF5" s="875" t="s">
        <v>221</v>
      </c>
      <c r="BG5" s="876" t="s">
        <v>222</v>
      </c>
      <c r="BH5" s="877" t="s">
        <v>224</v>
      </c>
      <c r="BI5" s="875" t="s">
        <v>221</v>
      </c>
      <c r="BJ5" s="876" t="s">
        <v>222</v>
      </c>
      <c r="BK5" s="877" t="s">
        <v>224</v>
      </c>
      <c r="BL5" s="875" t="s">
        <v>221</v>
      </c>
      <c r="BM5" s="876" t="s">
        <v>222</v>
      </c>
      <c r="BN5" s="877" t="s">
        <v>224</v>
      </c>
      <c r="BO5" s="875" t="s">
        <v>221</v>
      </c>
      <c r="BP5" s="876" t="s">
        <v>222</v>
      </c>
      <c r="BQ5" s="877" t="s">
        <v>224</v>
      </c>
      <c r="BR5" s="875" t="s">
        <v>221</v>
      </c>
      <c r="BS5" s="876" t="s">
        <v>222</v>
      </c>
      <c r="BT5" s="877" t="s">
        <v>224</v>
      </c>
      <c r="BU5" s="875" t="s">
        <v>221</v>
      </c>
      <c r="BV5" s="876" t="s">
        <v>222</v>
      </c>
      <c r="BW5" s="877" t="s">
        <v>224</v>
      </c>
      <c r="BX5" s="876" t="s">
        <v>221</v>
      </c>
      <c r="BY5" s="876" t="s">
        <v>222</v>
      </c>
      <c r="BZ5" s="877" t="s">
        <v>224</v>
      </c>
      <c r="CA5" s="875" t="s">
        <v>221</v>
      </c>
      <c r="CB5" s="876" t="s">
        <v>222</v>
      </c>
      <c r="CC5" s="877" t="s">
        <v>224</v>
      </c>
      <c r="CD5" s="875" t="s">
        <v>221</v>
      </c>
      <c r="CE5" s="876" t="s">
        <v>222</v>
      </c>
      <c r="CF5" s="877" t="s">
        <v>224</v>
      </c>
      <c r="CG5" s="875" t="s">
        <v>221</v>
      </c>
      <c r="CH5" s="876" t="s">
        <v>222</v>
      </c>
      <c r="CI5" s="877" t="s">
        <v>224</v>
      </c>
      <c r="CJ5" s="875" t="s">
        <v>221</v>
      </c>
      <c r="CK5" s="876" t="s">
        <v>222</v>
      </c>
      <c r="CL5" s="877" t="s">
        <v>224</v>
      </c>
      <c r="CM5" s="875" t="s">
        <v>221</v>
      </c>
      <c r="CN5" s="876" t="s">
        <v>222</v>
      </c>
      <c r="CO5" s="877" t="s">
        <v>224</v>
      </c>
      <c r="CP5" s="875" t="s">
        <v>221</v>
      </c>
      <c r="CQ5" s="876" t="s">
        <v>222</v>
      </c>
      <c r="CR5" s="877" t="s">
        <v>224</v>
      </c>
      <c r="CS5" s="875" t="s">
        <v>221</v>
      </c>
      <c r="CT5" s="876" t="s">
        <v>222</v>
      </c>
      <c r="CU5" s="877" t="s">
        <v>224</v>
      </c>
      <c r="CV5" s="875" t="s">
        <v>221</v>
      </c>
      <c r="CW5" s="876" t="s">
        <v>222</v>
      </c>
      <c r="CX5" s="877" t="s">
        <v>224</v>
      </c>
      <c r="CY5" s="875" t="s">
        <v>221</v>
      </c>
      <c r="CZ5" s="876" t="s">
        <v>222</v>
      </c>
      <c r="DA5" s="877" t="s">
        <v>224</v>
      </c>
      <c r="DB5" s="878" t="s">
        <v>221</v>
      </c>
      <c r="DC5" s="879" t="s">
        <v>222</v>
      </c>
      <c r="DD5" s="880" t="s">
        <v>224</v>
      </c>
      <c r="DE5" s="876" t="s">
        <v>221</v>
      </c>
      <c r="DF5" s="876" t="s">
        <v>222</v>
      </c>
      <c r="DG5" s="877" t="s">
        <v>224</v>
      </c>
      <c r="DH5" s="876" t="s">
        <v>221</v>
      </c>
      <c r="DI5" s="876" t="s">
        <v>222</v>
      </c>
      <c r="DJ5" s="877" t="s">
        <v>224</v>
      </c>
      <c r="DK5" s="875" t="s">
        <v>221</v>
      </c>
      <c r="DL5" s="876" t="s">
        <v>222</v>
      </c>
      <c r="DM5" s="877" t="s">
        <v>224</v>
      </c>
      <c r="DN5" s="876" t="s">
        <v>221</v>
      </c>
      <c r="DO5" s="876" t="s">
        <v>222</v>
      </c>
      <c r="DP5" s="877" t="s">
        <v>224</v>
      </c>
      <c r="DQ5" s="876" t="s">
        <v>221</v>
      </c>
      <c r="DR5" s="876" t="s">
        <v>222</v>
      </c>
      <c r="DS5" s="877" t="s">
        <v>224</v>
      </c>
      <c r="DT5" s="876" t="s">
        <v>221</v>
      </c>
      <c r="DU5" s="876" t="s">
        <v>222</v>
      </c>
      <c r="DV5" s="877" t="s">
        <v>224</v>
      </c>
      <c r="DW5" s="881" t="s">
        <v>221</v>
      </c>
      <c r="DX5" s="882" t="s">
        <v>222</v>
      </c>
      <c r="DY5" s="883" t="s">
        <v>224</v>
      </c>
      <c r="DZ5" s="881" t="s">
        <v>221</v>
      </c>
      <c r="EA5" s="882" t="s">
        <v>222</v>
      </c>
      <c r="EB5" s="883" t="s">
        <v>224</v>
      </c>
      <c r="EC5" s="875" t="s">
        <v>221</v>
      </c>
      <c r="ED5" s="876" t="s">
        <v>222</v>
      </c>
      <c r="EE5" s="877" t="s">
        <v>224</v>
      </c>
      <c r="EF5" s="876" t="s">
        <v>221</v>
      </c>
      <c r="EG5" s="876" t="s">
        <v>222</v>
      </c>
      <c r="EH5" s="877" t="s">
        <v>224</v>
      </c>
      <c r="EI5" s="875" t="s">
        <v>221</v>
      </c>
      <c r="EJ5" s="876" t="s">
        <v>222</v>
      </c>
      <c r="EK5" s="877" t="s">
        <v>224</v>
      </c>
      <c r="EL5" s="876" t="s">
        <v>221</v>
      </c>
      <c r="EM5" s="876" t="s">
        <v>222</v>
      </c>
      <c r="EN5" s="877" t="s">
        <v>224</v>
      </c>
      <c r="EO5" s="884" t="s">
        <v>221</v>
      </c>
      <c r="EP5" s="885" t="s">
        <v>222</v>
      </c>
      <c r="EQ5" s="877" t="s">
        <v>224</v>
      </c>
      <c r="ER5" s="876" t="s">
        <v>221</v>
      </c>
      <c r="ES5" s="876" t="s">
        <v>222</v>
      </c>
      <c r="ET5" s="877" t="s">
        <v>224</v>
      </c>
    </row>
    <row r="6" spans="1:152" s="925" customFormat="1" ht="9.75" thickBot="1">
      <c r="A6" s="889">
        <v>46869</v>
      </c>
      <c r="B6" s="890">
        <v>49932</v>
      </c>
      <c r="C6" s="891">
        <v>162</v>
      </c>
      <c r="D6" s="892">
        <v>142542</v>
      </c>
      <c r="E6" s="890">
        <v>152567</v>
      </c>
      <c r="F6" s="891">
        <v>1100</v>
      </c>
      <c r="G6" s="893">
        <v>14990</v>
      </c>
      <c r="H6" s="894">
        <v>14990</v>
      </c>
      <c r="I6" s="895">
        <v>0.52</v>
      </c>
      <c r="J6" s="896">
        <v>17284</v>
      </c>
      <c r="K6" s="894">
        <v>14838</v>
      </c>
      <c r="L6" s="895">
        <v>53.68</v>
      </c>
      <c r="M6" s="893">
        <v>1995</v>
      </c>
      <c r="N6" s="896">
        <v>1921</v>
      </c>
      <c r="O6" s="895">
        <v>6.26</v>
      </c>
      <c r="P6" s="896">
        <v>12018</v>
      </c>
      <c r="Q6" s="894">
        <v>11614</v>
      </c>
      <c r="R6" s="895">
        <v>77.54</v>
      </c>
      <c r="S6" s="893">
        <v>57426</v>
      </c>
      <c r="T6" s="896">
        <v>52595</v>
      </c>
      <c r="U6" s="895">
        <v>237</v>
      </c>
      <c r="V6" s="893">
        <v>154778</v>
      </c>
      <c r="W6" s="894">
        <v>133053</v>
      </c>
      <c r="X6" s="895">
        <v>1132</v>
      </c>
      <c r="Y6" s="893">
        <v>41794</v>
      </c>
      <c r="Z6" s="896">
        <v>41720</v>
      </c>
      <c r="AA6" s="895">
        <v>75.42</v>
      </c>
      <c r="AB6" s="893">
        <v>123828</v>
      </c>
      <c r="AC6" s="894">
        <v>123773</v>
      </c>
      <c r="AD6" s="895">
        <v>384.96</v>
      </c>
      <c r="AE6" s="893">
        <v>32779</v>
      </c>
      <c r="AF6" s="894">
        <v>31241</v>
      </c>
      <c r="AG6" s="895">
        <v>140.81</v>
      </c>
      <c r="AH6" s="896">
        <v>78730</v>
      </c>
      <c r="AI6" s="894">
        <v>73823</v>
      </c>
      <c r="AJ6" s="895">
        <v>599.3</v>
      </c>
      <c r="AK6" s="897">
        <v>11436</v>
      </c>
      <c r="AL6" s="898">
        <v>11330</v>
      </c>
      <c r="AM6" s="899">
        <v>44.57</v>
      </c>
      <c r="AN6" s="900">
        <v>18928</v>
      </c>
      <c r="AO6" s="898">
        <v>19138</v>
      </c>
      <c r="AP6" s="899">
        <v>82.94</v>
      </c>
      <c r="AQ6" s="893">
        <v>10994</v>
      </c>
      <c r="AR6" s="894">
        <v>10597</v>
      </c>
      <c r="AS6" s="895">
        <v>27.75</v>
      </c>
      <c r="AT6" s="893">
        <v>43889</v>
      </c>
      <c r="AU6" s="894">
        <v>40676</v>
      </c>
      <c r="AV6" s="895">
        <v>196.83</v>
      </c>
      <c r="AW6" s="893">
        <v>35688</v>
      </c>
      <c r="AX6" s="894">
        <v>35189</v>
      </c>
      <c r="AY6" s="895">
        <v>93.36</v>
      </c>
      <c r="AZ6" s="893">
        <v>103909</v>
      </c>
      <c r="BA6" s="894">
        <v>100450</v>
      </c>
      <c r="BB6" s="895">
        <v>450.27</v>
      </c>
      <c r="BC6" s="893">
        <v>10429</v>
      </c>
      <c r="BD6" s="894">
        <v>10077</v>
      </c>
      <c r="BE6" s="895">
        <v>39.47</v>
      </c>
      <c r="BF6" s="893">
        <v>36082</v>
      </c>
      <c r="BG6" s="894">
        <v>33836</v>
      </c>
      <c r="BH6" s="895">
        <v>210.01</v>
      </c>
      <c r="BI6" s="901">
        <v>123764</v>
      </c>
      <c r="BJ6" s="896">
        <v>135451</v>
      </c>
      <c r="BK6" s="895">
        <v>623.35</v>
      </c>
      <c r="BL6" s="893">
        <v>515696</v>
      </c>
      <c r="BM6" s="894">
        <v>523973</v>
      </c>
      <c r="BN6" s="895">
        <v>5375.85</v>
      </c>
      <c r="BO6" s="902">
        <v>119779</v>
      </c>
      <c r="BP6" s="903">
        <v>116259</v>
      </c>
      <c r="BQ6" s="904">
        <v>539.9</v>
      </c>
      <c r="BR6" s="902">
        <v>435501</v>
      </c>
      <c r="BS6" s="903">
        <v>415528</v>
      </c>
      <c r="BT6" s="904">
        <v>5251.3</v>
      </c>
      <c r="BU6" s="893">
        <v>9873</v>
      </c>
      <c r="BV6" s="894">
        <v>9201</v>
      </c>
      <c r="BW6" s="895">
        <v>75.92</v>
      </c>
      <c r="BX6" s="896">
        <v>26734</v>
      </c>
      <c r="BY6" s="894">
        <v>24752</v>
      </c>
      <c r="BZ6" s="895">
        <v>216.19</v>
      </c>
      <c r="CA6" s="893"/>
      <c r="CB6" s="894"/>
      <c r="CC6" s="895"/>
      <c r="CD6" s="893"/>
      <c r="CE6" s="894"/>
      <c r="CF6" s="904"/>
      <c r="CG6" s="893">
        <v>44575</v>
      </c>
      <c r="CH6" s="894">
        <v>44600</v>
      </c>
      <c r="CI6" s="895">
        <v>59.12</v>
      </c>
      <c r="CJ6" s="893">
        <v>173601</v>
      </c>
      <c r="CK6" s="894">
        <v>155465</v>
      </c>
      <c r="CL6" s="895">
        <v>1422.9</v>
      </c>
      <c r="CM6" s="893">
        <v>109583</v>
      </c>
      <c r="CN6" s="894">
        <v>104149</v>
      </c>
      <c r="CO6" s="895">
        <v>704.35</v>
      </c>
      <c r="CP6" s="893">
        <v>301973</v>
      </c>
      <c r="CQ6" s="894">
        <v>284322</v>
      </c>
      <c r="CR6" s="895">
        <v>2688.58</v>
      </c>
      <c r="CS6" s="893">
        <v>43764</v>
      </c>
      <c r="CT6" s="894">
        <v>43764</v>
      </c>
      <c r="CU6" s="895">
        <v>250.66</v>
      </c>
      <c r="CV6" s="893">
        <v>95616</v>
      </c>
      <c r="CW6" s="894">
        <v>79294</v>
      </c>
      <c r="CX6" s="895">
        <v>672.76</v>
      </c>
      <c r="CY6" s="905">
        <v>31723</v>
      </c>
      <c r="CZ6" s="906">
        <v>30140</v>
      </c>
      <c r="DA6" s="907">
        <v>112.69</v>
      </c>
      <c r="DB6" s="908">
        <v>118911</v>
      </c>
      <c r="DC6" s="909">
        <v>110830</v>
      </c>
      <c r="DD6" s="910">
        <v>558.11</v>
      </c>
      <c r="DE6" s="896"/>
      <c r="DF6" s="894"/>
      <c r="DG6" s="895"/>
      <c r="DH6" s="896"/>
      <c r="DI6" s="894"/>
      <c r="DJ6" s="895"/>
      <c r="DK6" s="911">
        <v>287120</v>
      </c>
      <c r="DL6" s="911">
        <v>287120</v>
      </c>
      <c r="DM6" s="912">
        <v>1340</v>
      </c>
      <c r="DN6" s="913">
        <v>866379</v>
      </c>
      <c r="DO6" s="911">
        <v>866379</v>
      </c>
      <c r="DP6" s="912">
        <v>7055</v>
      </c>
      <c r="DQ6" s="914">
        <v>82321</v>
      </c>
      <c r="DR6" s="914">
        <v>80747</v>
      </c>
      <c r="DS6" s="915">
        <v>130.94</v>
      </c>
      <c r="DT6" s="914">
        <v>103003</v>
      </c>
      <c r="DU6" s="914">
        <v>99851</v>
      </c>
      <c r="DV6" s="915">
        <v>210.66</v>
      </c>
      <c r="DW6" s="916">
        <v>20727</v>
      </c>
      <c r="DX6" s="917">
        <v>20727</v>
      </c>
      <c r="DY6" s="918">
        <v>132.46</v>
      </c>
      <c r="DZ6" s="919">
        <v>36786</v>
      </c>
      <c r="EA6" s="920">
        <v>26786</v>
      </c>
      <c r="EB6" s="921">
        <v>326.82</v>
      </c>
      <c r="EC6" s="922"/>
      <c r="ED6" s="922"/>
      <c r="EE6" s="872"/>
      <c r="EF6" s="922"/>
      <c r="EG6" s="922"/>
      <c r="EH6" s="872"/>
      <c r="EI6" s="893">
        <v>3305955</v>
      </c>
      <c r="EJ6" s="894">
        <v>2734375</v>
      </c>
      <c r="EK6" s="895">
        <v>4959.77</v>
      </c>
      <c r="EL6" s="896">
        <v>12236585</v>
      </c>
      <c r="EM6" s="894">
        <v>9885540</v>
      </c>
      <c r="EN6" s="895">
        <v>33293.46</v>
      </c>
      <c r="EO6" s="923">
        <f aca="true" t="shared" si="0" ref="EO6:ET6">SUM(A6+G6+M6+S6+Y6+AE6+AK6+AQ6+AW6+BC6+BI6+BO6+BU6+CA6+CG6+CM6+CS6+CY6+DE6+DK6+DQ6+DW6+EC6+EI6)</f>
        <v>4443584</v>
      </c>
      <c r="EP6" s="923">
        <f t="shared" si="0"/>
        <v>3866125</v>
      </c>
      <c r="EQ6" s="924">
        <f t="shared" si="0"/>
        <v>9756.32</v>
      </c>
      <c r="ER6" s="923">
        <f t="shared" si="0"/>
        <v>15642773</v>
      </c>
      <c r="ES6" s="923">
        <f t="shared" si="0"/>
        <v>13176488</v>
      </c>
      <c r="ET6" s="924">
        <f t="shared" si="0"/>
        <v>61359.159999999996</v>
      </c>
      <c r="EV6" s="926"/>
    </row>
    <row r="7" spans="1:150" s="888" customFormat="1" ht="9">
      <c r="A7" s="927"/>
      <c r="B7" s="928"/>
      <c r="C7" s="929"/>
      <c r="D7" s="930"/>
      <c r="E7" s="928"/>
      <c r="F7" s="929"/>
      <c r="G7" s="931"/>
      <c r="H7" s="932"/>
      <c r="I7" s="933"/>
      <c r="J7" s="934"/>
      <c r="K7" s="932"/>
      <c r="L7" s="935"/>
      <c r="M7" s="931"/>
      <c r="N7" s="934"/>
      <c r="O7" s="933"/>
      <c r="P7" s="934"/>
      <c r="Q7" s="932"/>
      <c r="R7" s="933"/>
      <c r="S7" s="931"/>
      <c r="T7" s="934"/>
      <c r="U7" s="933"/>
      <c r="V7" s="931"/>
      <c r="W7" s="932"/>
      <c r="X7" s="933"/>
      <c r="Y7" s="931"/>
      <c r="Z7" s="934"/>
      <c r="AA7" s="933"/>
      <c r="AB7" s="931"/>
      <c r="AC7" s="932"/>
      <c r="AD7" s="933"/>
      <c r="AE7" s="931"/>
      <c r="AF7" s="936"/>
      <c r="AG7" s="937"/>
      <c r="AH7" s="934"/>
      <c r="AI7" s="932"/>
      <c r="AJ7" s="933"/>
      <c r="AK7" s="938"/>
      <c r="AL7" s="939"/>
      <c r="AM7" s="940"/>
      <c r="AN7" s="941"/>
      <c r="AO7" s="939"/>
      <c r="AP7" s="942"/>
      <c r="AQ7" s="931"/>
      <c r="AR7" s="932"/>
      <c r="AS7" s="933"/>
      <c r="AT7" s="931"/>
      <c r="AU7" s="932"/>
      <c r="AV7" s="933"/>
      <c r="AW7" s="931"/>
      <c r="AX7" s="932"/>
      <c r="AY7" s="933"/>
      <c r="AZ7" s="931"/>
      <c r="BA7" s="932"/>
      <c r="BB7" s="933"/>
      <c r="BC7" s="931"/>
      <c r="BD7" s="932"/>
      <c r="BE7" s="933"/>
      <c r="BF7" s="931"/>
      <c r="BG7" s="932"/>
      <c r="BH7" s="933"/>
      <c r="BI7" s="943"/>
      <c r="BJ7" s="934"/>
      <c r="BK7" s="944"/>
      <c r="BL7" s="931"/>
      <c r="BM7" s="932"/>
      <c r="BN7" s="933"/>
      <c r="BO7" s="931"/>
      <c r="BP7" s="932"/>
      <c r="BQ7" s="933"/>
      <c r="BR7" s="931"/>
      <c r="BS7" s="932"/>
      <c r="BT7" s="933"/>
      <c r="BU7" s="945"/>
      <c r="BV7" s="946"/>
      <c r="BW7" s="947"/>
      <c r="BX7" s="948"/>
      <c r="BY7" s="946"/>
      <c r="BZ7" s="935"/>
      <c r="CA7" s="931"/>
      <c r="CB7" s="932"/>
      <c r="CC7" s="933"/>
      <c r="CD7" s="931"/>
      <c r="CE7" s="932"/>
      <c r="CF7" s="933"/>
      <c r="CG7" s="931"/>
      <c r="CH7" s="932"/>
      <c r="CI7" s="933"/>
      <c r="CJ7" s="931"/>
      <c r="CK7" s="932"/>
      <c r="CL7" s="933"/>
      <c r="CM7" s="931"/>
      <c r="CN7" s="932"/>
      <c r="CO7" s="933"/>
      <c r="CP7" s="931"/>
      <c r="CQ7" s="932"/>
      <c r="CR7" s="933"/>
      <c r="CS7" s="931"/>
      <c r="CT7" s="932"/>
      <c r="CU7" s="933"/>
      <c r="CV7" s="931"/>
      <c r="CW7" s="932"/>
      <c r="CX7" s="933"/>
      <c r="CY7" s="931"/>
      <c r="CZ7" s="932"/>
      <c r="DA7" s="933"/>
      <c r="DB7" s="931"/>
      <c r="DC7" s="932"/>
      <c r="DD7" s="933"/>
      <c r="DE7" s="949"/>
      <c r="DF7" s="932"/>
      <c r="DG7" s="933"/>
      <c r="DH7" s="934"/>
      <c r="DI7" s="932"/>
      <c r="DJ7" s="933"/>
      <c r="DK7" s="931"/>
      <c r="DL7" s="934"/>
      <c r="DM7" s="933"/>
      <c r="DN7" s="950"/>
      <c r="DO7" s="951"/>
      <c r="DP7" s="952"/>
      <c r="DQ7" s="953"/>
      <c r="DR7" s="954"/>
      <c r="DS7" s="955"/>
      <c r="DT7" s="953"/>
      <c r="DU7" s="954"/>
      <c r="DV7" s="955"/>
      <c r="DW7" s="956"/>
      <c r="DX7" s="957"/>
      <c r="DY7" s="958"/>
      <c r="DZ7" s="959"/>
      <c r="EA7" s="957"/>
      <c r="EB7" s="958"/>
      <c r="EC7" s="934">
        <v>103779</v>
      </c>
      <c r="ED7" s="932">
        <v>90388</v>
      </c>
      <c r="EE7" s="933">
        <v>212.47</v>
      </c>
      <c r="EF7" s="934">
        <v>220199</v>
      </c>
      <c r="EG7" s="932">
        <v>207011</v>
      </c>
      <c r="EH7" s="935">
        <v>1866.47</v>
      </c>
      <c r="EI7" s="956"/>
      <c r="EJ7" s="957"/>
      <c r="EK7" s="958"/>
      <c r="EL7" s="959"/>
      <c r="EM7" s="957"/>
      <c r="EN7" s="958"/>
      <c r="EO7" s="960"/>
      <c r="EP7" s="960"/>
      <c r="EQ7" s="961"/>
      <c r="ER7" s="960"/>
      <c r="ES7" s="960"/>
      <c r="ET7" s="961"/>
    </row>
    <row r="8" spans="1:150" s="888" customFormat="1" ht="9">
      <c r="A8" s="927"/>
      <c r="B8" s="928"/>
      <c r="C8" s="929"/>
      <c r="D8" s="930"/>
      <c r="E8" s="928"/>
      <c r="F8" s="929"/>
      <c r="G8" s="931"/>
      <c r="H8" s="932"/>
      <c r="I8" s="933"/>
      <c r="J8" s="934"/>
      <c r="K8" s="932"/>
      <c r="L8" s="935"/>
      <c r="M8" s="931"/>
      <c r="N8" s="934"/>
      <c r="O8" s="933"/>
      <c r="P8" s="934"/>
      <c r="Q8" s="932"/>
      <c r="R8" s="933"/>
      <c r="S8" s="931"/>
      <c r="T8" s="934"/>
      <c r="U8" s="933"/>
      <c r="V8" s="931"/>
      <c r="W8" s="932"/>
      <c r="X8" s="933"/>
      <c r="Y8" s="931"/>
      <c r="Z8" s="934"/>
      <c r="AA8" s="933"/>
      <c r="AB8" s="931"/>
      <c r="AC8" s="932"/>
      <c r="AD8" s="933"/>
      <c r="AE8" s="962"/>
      <c r="AF8" s="936"/>
      <c r="AG8" s="937"/>
      <c r="AH8" s="963"/>
      <c r="AI8" s="932"/>
      <c r="AJ8" s="933"/>
      <c r="AK8" s="962"/>
      <c r="AL8" s="964"/>
      <c r="AM8" s="965"/>
      <c r="AN8" s="963"/>
      <c r="AO8" s="964"/>
      <c r="AP8" s="966"/>
      <c r="AQ8" s="931"/>
      <c r="AR8" s="932"/>
      <c r="AS8" s="933"/>
      <c r="AT8" s="931"/>
      <c r="AU8" s="932"/>
      <c r="AV8" s="933"/>
      <c r="AW8" s="931"/>
      <c r="AX8" s="932"/>
      <c r="AY8" s="933"/>
      <c r="AZ8" s="931"/>
      <c r="BA8" s="932"/>
      <c r="BB8" s="933"/>
      <c r="BC8" s="931"/>
      <c r="BD8" s="932"/>
      <c r="BE8" s="933"/>
      <c r="BF8" s="931"/>
      <c r="BG8" s="932"/>
      <c r="BH8" s="965"/>
      <c r="BI8" s="967"/>
      <c r="BJ8" s="963"/>
      <c r="BK8" s="965"/>
      <c r="BL8" s="962"/>
      <c r="BM8" s="964"/>
      <c r="BN8" s="965"/>
      <c r="BO8" s="931"/>
      <c r="BP8" s="932"/>
      <c r="BQ8" s="933"/>
      <c r="BR8" s="931"/>
      <c r="BS8" s="932"/>
      <c r="BT8" s="933"/>
      <c r="BU8" s="968"/>
      <c r="BV8" s="969"/>
      <c r="BW8" s="970"/>
      <c r="BX8" s="971"/>
      <c r="BY8" s="969"/>
      <c r="BZ8" s="970"/>
      <c r="CA8" s="931"/>
      <c r="CB8" s="932"/>
      <c r="CC8" s="933"/>
      <c r="CD8" s="931"/>
      <c r="CE8" s="932"/>
      <c r="CF8" s="933"/>
      <c r="CG8" s="931"/>
      <c r="CH8" s="932"/>
      <c r="CI8" s="933"/>
      <c r="CJ8" s="931"/>
      <c r="CK8" s="932"/>
      <c r="CL8" s="933"/>
      <c r="CM8" s="931"/>
      <c r="CN8" s="932"/>
      <c r="CO8" s="933"/>
      <c r="CP8" s="931"/>
      <c r="CQ8" s="932"/>
      <c r="CR8" s="933"/>
      <c r="CS8" s="931"/>
      <c r="CT8" s="932"/>
      <c r="CU8" s="933"/>
      <c r="CV8" s="931"/>
      <c r="CW8" s="932"/>
      <c r="CX8" s="933"/>
      <c r="CY8" s="931"/>
      <c r="CZ8" s="932"/>
      <c r="DA8" s="933"/>
      <c r="DB8" s="931"/>
      <c r="DC8" s="932"/>
      <c r="DD8" s="933"/>
      <c r="DE8" s="949"/>
      <c r="DF8" s="932"/>
      <c r="DG8" s="933"/>
      <c r="DH8" s="934"/>
      <c r="DI8" s="932"/>
      <c r="DJ8" s="933"/>
      <c r="DK8" s="931"/>
      <c r="DL8" s="934"/>
      <c r="DM8" s="933"/>
      <c r="DN8" s="950"/>
      <c r="DO8" s="951"/>
      <c r="DP8" s="952"/>
      <c r="DQ8" s="953"/>
      <c r="DR8" s="954"/>
      <c r="DS8" s="955"/>
      <c r="DT8" s="953"/>
      <c r="DU8" s="954"/>
      <c r="DV8" s="955"/>
      <c r="DW8" s="956"/>
      <c r="DX8" s="957"/>
      <c r="DY8" s="958"/>
      <c r="DZ8" s="959"/>
      <c r="EA8" s="957"/>
      <c r="EB8" s="958"/>
      <c r="EC8" s="934"/>
      <c r="ED8" s="932"/>
      <c r="EE8" s="933"/>
      <c r="EF8" s="934"/>
      <c r="EG8" s="932"/>
      <c r="EH8" s="935"/>
      <c r="EI8" s="956"/>
      <c r="EJ8" s="957"/>
      <c r="EK8" s="958"/>
      <c r="EL8" s="959"/>
      <c r="EM8" s="957"/>
      <c r="EN8" s="958"/>
      <c r="EO8" s="960"/>
      <c r="EP8" s="960"/>
      <c r="EQ8" s="961"/>
      <c r="ER8" s="960"/>
      <c r="ES8" s="960"/>
      <c r="ET8" s="961"/>
    </row>
    <row r="9" spans="1:150" s="888" customFormat="1" ht="9">
      <c r="A9" s="927"/>
      <c r="B9" s="928"/>
      <c r="C9" s="929"/>
      <c r="D9" s="930"/>
      <c r="E9" s="928"/>
      <c r="F9" s="929"/>
      <c r="G9" s="931"/>
      <c r="H9" s="932"/>
      <c r="I9" s="933"/>
      <c r="J9" s="934"/>
      <c r="K9" s="932"/>
      <c r="L9" s="935"/>
      <c r="M9" s="931"/>
      <c r="N9" s="934"/>
      <c r="O9" s="933"/>
      <c r="P9" s="934"/>
      <c r="Q9" s="932"/>
      <c r="R9" s="933"/>
      <c r="S9" s="931"/>
      <c r="T9" s="934"/>
      <c r="U9" s="933"/>
      <c r="V9" s="931"/>
      <c r="W9" s="932"/>
      <c r="X9" s="933"/>
      <c r="Y9" s="931"/>
      <c r="Z9" s="934"/>
      <c r="AA9" s="933"/>
      <c r="AB9" s="931"/>
      <c r="AC9" s="932"/>
      <c r="AD9" s="933"/>
      <c r="AE9" s="931"/>
      <c r="AF9" s="936"/>
      <c r="AG9" s="937"/>
      <c r="AH9" s="934"/>
      <c r="AI9" s="932"/>
      <c r="AJ9" s="933"/>
      <c r="AK9" s="931"/>
      <c r="AL9" s="932"/>
      <c r="AM9" s="933"/>
      <c r="AN9" s="934"/>
      <c r="AO9" s="932"/>
      <c r="AP9" s="935"/>
      <c r="AQ9" s="931"/>
      <c r="AR9" s="932"/>
      <c r="AS9" s="933"/>
      <c r="AT9" s="931"/>
      <c r="AU9" s="932"/>
      <c r="AV9" s="933"/>
      <c r="AW9" s="931"/>
      <c r="AX9" s="932"/>
      <c r="AY9" s="933"/>
      <c r="AZ9" s="931"/>
      <c r="BA9" s="932"/>
      <c r="BB9" s="933"/>
      <c r="BC9" s="931"/>
      <c r="BD9" s="932"/>
      <c r="BE9" s="933"/>
      <c r="BF9" s="931"/>
      <c r="BG9" s="932"/>
      <c r="BH9" s="933"/>
      <c r="BI9" s="943"/>
      <c r="BJ9" s="934"/>
      <c r="BK9" s="965"/>
      <c r="BL9" s="931"/>
      <c r="BM9" s="932"/>
      <c r="BN9" s="933"/>
      <c r="BO9" s="931"/>
      <c r="BP9" s="932"/>
      <c r="BQ9" s="933"/>
      <c r="BR9" s="931"/>
      <c r="BS9" s="932"/>
      <c r="BT9" s="933"/>
      <c r="BU9" s="945"/>
      <c r="BV9" s="946"/>
      <c r="BW9" s="947"/>
      <c r="BX9" s="948"/>
      <c r="BY9" s="946"/>
      <c r="BZ9" s="935"/>
      <c r="CA9" s="931"/>
      <c r="CB9" s="932"/>
      <c r="CC9" s="933"/>
      <c r="CD9" s="931"/>
      <c r="CE9" s="932"/>
      <c r="CF9" s="933"/>
      <c r="CG9" s="931"/>
      <c r="CH9" s="932"/>
      <c r="CI9" s="933"/>
      <c r="CJ9" s="931"/>
      <c r="CK9" s="932"/>
      <c r="CL9" s="933"/>
      <c r="CM9" s="931"/>
      <c r="CN9" s="932"/>
      <c r="CO9" s="933"/>
      <c r="CP9" s="931"/>
      <c r="CQ9" s="932"/>
      <c r="CR9" s="933"/>
      <c r="CS9" s="931"/>
      <c r="CT9" s="932"/>
      <c r="CU9" s="933"/>
      <c r="CV9" s="931"/>
      <c r="CW9" s="932"/>
      <c r="CX9" s="933"/>
      <c r="CY9" s="931"/>
      <c r="CZ9" s="932"/>
      <c r="DA9" s="933"/>
      <c r="DB9" s="931"/>
      <c r="DC9" s="932"/>
      <c r="DD9" s="933"/>
      <c r="DE9" s="949"/>
      <c r="DF9" s="932"/>
      <c r="DG9" s="933"/>
      <c r="DH9" s="934"/>
      <c r="DI9" s="932"/>
      <c r="DJ9" s="933"/>
      <c r="DK9" s="931"/>
      <c r="DL9" s="934"/>
      <c r="DM9" s="933"/>
      <c r="DN9" s="950"/>
      <c r="DO9" s="951"/>
      <c r="DP9" s="952"/>
      <c r="DQ9" s="953"/>
      <c r="DR9" s="954"/>
      <c r="DS9" s="955"/>
      <c r="DT9" s="953"/>
      <c r="DU9" s="954"/>
      <c r="DV9" s="955"/>
      <c r="DW9" s="956"/>
      <c r="DX9" s="957"/>
      <c r="DY9" s="958"/>
      <c r="DZ9" s="959"/>
      <c r="EA9" s="957"/>
      <c r="EB9" s="958"/>
      <c r="EC9" s="934"/>
      <c r="ED9" s="932"/>
      <c r="EE9" s="933"/>
      <c r="EF9" s="934"/>
      <c r="EG9" s="932"/>
      <c r="EH9" s="935"/>
      <c r="EI9" s="956"/>
      <c r="EJ9" s="957"/>
      <c r="EK9" s="958"/>
      <c r="EL9" s="959"/>
      <c r="EM9" s="957"/>
      <c r="EN9" s="958"/>
      <c r="EO9" s="960"/>
      <c r="EP9" s="960"/>
      <c r="EQ9" s="961"/>
      <c r="ER9" s="960"/>
      <c r="ES9" s="960"/>
      <c r="ET9" s="961"/>
    </row>
    <row r="10" spans="1:150" s="888" customFormat="1" ht="9.75" thickBot="1">
      <c r="A10" s="972"/>
      <c r="B10" s="973"/>
      <c r="C10" s="974"/>
      <c r="D10" s="975"/>
      <c r="E10" s="973"/>
      <c r="F10" s="974"/>
      <c r="G10" s="976"/>
      <c r="H10" s="977"/>
      <c r="I10" s="978"/>
      <c r="J10" s="979"/>
      <c r="K10" s="977"/>
      <c r="L10" s="980"/>
      <c r="M10" s="976"/>
      <c r="N10" s="979"/>
      <c r="O10" s="978"/>
      <c r="P10" s="979"/>
      <c r="Q10" s="977"/>
      <c r="R10" s="978"/>
      <c r="S10" s="976"/>
      <c r="T10" s="979"/>
      <c r="U10" s="978"/>
      <c r="V10" s="976"/>
      <c r="W10" s="977"/>
      <c r="X10" s="978"/>
      <c r="Y10" s="976"/>
      <c r="Z10" s="979"/>
      <c r="AA10" s="978"/>
      <c r="AB10" s="976"/>
      <c r="AC10" s="977"/>
      <c r="AD10" s="978"/>
      <c r="AE10" s="981"/>
      <c r="AF10" s="982"/>
      <c r="AG10" s="983"/>
      <c r="AH10" s="984"/>
      <c r="AI10" s="977"/>
      <c r="AJ10" s="978"/>
      <c r="AK10" s="976"/>
      <c r="AL10" s="977"/>
      <c r="AM10" s="978"/>
      <c r="AN10" s="979"/>
      <c r="AO10" s="977"/>
      <c r="AP10" s="980"/>
      <c r="AQ10" s="976"/>
      <c r="AR10" s="977"/>
      <c r="AS10" s="978"/>
      <c r="AT10" s="976"/>
      <c r="AU10" s="977"/>
      <c r="AV10" s="978"/>
      <c r="AW10" s="976"/>
      <c r="AX10" s="977"/>
      <c r="AY10" s="978"/>
      <c r="AZ10" s="976"/>
      <c r="BA10" s="977"/>
      <c r="BB10" s="978"/>
      <c r="BC10" s="976"/>
      <c r="BD10" s="977"/>
      <c r="BE10" s="978"/>
      <c r="BF10" s="976"/>
      <c r="BG10" s="977"/>
      <c r="BH10" s="985"/>
      <c r="BI10" s="986"/>
      <c r="BJ10" s="984"/>
      <c r="BK10" s="985"/>
      <c r="BL10" s="981"/>
      <c r="BM10" s="987"/>
      <c r="BN10" s="985"/>
      <c r="BO10" s="976"/>
      <c r="BP10" s="977"/>
      <c r="BQ10" s="978"/>
      <c r="BR10" s="976"/>
      <c r="BS10" s="977"/>
      <c r="BT10" s="978"/>
      <c r="BU10" s="988"/>
      <c r="BV10" s="989"/>
      <c r="BW10" s="990"/>
      <c r="BX10" s="991"/>
      <c r="BY10" s="989"/>
      <c r="BZ10" s="980"/>
      <c r="CA10" s="976"/>
      <c r="CB10" s="977"/>
      <c r="CC10" s="978"/>
      <c r="CD10" s="976"/>
      <c r="CE10" s="977"/>
      <c r="CF10" s="978"/>
      <c r="CG10" s="976"/>
      <c r="CH10" s="977"/>
      <c r="CI10" s="978"/>
      <c r="CJ10" s="976"/>
      <c r="CK10" s="977"/>
      <c r="CL10" s="978"/>
      <c r="CM10" s="976"/>
      <c r="CN10" s="977"/>
      <c r="CO10" s="978"/>
      <c r="CP10" s="976"/>
      <c r="CQ10" s="977"/>
      <c r="CR10" s="978"/>
      <c r="CS10" s="976"/>
      <c r="CT10" s="977"/>
      <c r="CU10" s="978"/>
      <c r="CV10" s="976"/>
      <c r="CW10" s="977"/>
      <c r="CX10" s="978"/>
      <c r="CY10" s="976"/>
      <c r="CZ10" s="977"/>
      <c r="DA10" s="978"/>
      <c r="DB10" s="976"/>
      <c r="DC10" s="977"/>
      <c r="DD10" s="978"/>
      <c r="DE10" s="992"/>
      <c r="DF10" s="977"/>
      <c r="DG10" s="978"/>
      <c r="DH10" s="979"/>
      <c r="DI10" s="977"/>
      <c r="DJ10" s="978"/>
      <c r="DK10" s="976"/>
      <c r="DL10" s="979"/>
      <c r="DM10" s="978"/>
      <c r="DN10" s="993"/>
      <c r="DO10" s="994"/>
      <c r="DP10" s="995"/>
      <c r="DQ10" s="996"/>
      <c r="DR10" s="997"/>
      <c r="DS10" s="998"/>
      <c r="DT10" s="996"/>
      <c r="DU10" s="997"/>
      <c r="DV10" s="998"/>
      <c r="DW10" s="999"/>
      <c r="DX10" s="1000"/>
      <c r="DY10" s="1001"/>
      <c r="DZ10" s="1002"/>
      <c r="EA10" s="1000"/>
      <c r="EB10" s="1001"/>
      <c r="EC10" s="979"/>
      <c r="ED10" s="977"/>
      <c r="EE10" s="978"/>
      <c r="EF10" s="979"/>
      <c r="EG10" s="977"/>
      <c r="EH10" s="980"/>
      <c r="EI10" s="999"/>
      <c r="EJ10" s="1000"/>
      <c r="EK10" s="1001"/>
      <c r="EL10" s="1002"/>
      <c r="EM10" s="1000"/>
      <c r="EN10" s="1001"/>
      <c r="EO10" s="1003"/>
      <c r="EP10" s="1003"/>
      <c r="EQ10" s="1004"/>
      <c r="ER10" s="1003"/>
      <c r="ES10" s="1003"/>
      <c r="ET10" s="1004"/>
    </row>
    <row r="12" ht="12.75">
      <c r="BS12" s="1005"/>
    </row>
  </sheetData>
  <sheetProtection/>
  <mergeCells count="76">
    <mergeCell ref="EL4:EN4"/>
    <mergeCell ref="EO3:ET3"/>
    <mergeCell ref="EO4:EQ4"/>
    <mergeCell ref="ER4:ET4"/>
    <mergeCell ref="DN4:DP4"/>
    <mergeCell ref="DQ4:DS4"/>
    <mergeCell ref="DT4:DV4"/>
    <mergeCell ref="DW4:DY4"/>
    <mergeCell ref="DZ4:EB4"/>
    <mergeCell ref="EC4:EE4"/>
    <mergeCell ref="CV4:CX4"/>
    <mergeCell ref="CY4:DA4"/>
    <mergeCell ref="DB4:DD4"/>
    <mergeCell ref="DE4:DG4"/>
    <mergeCell ref="DH4:DJ4"/>
    <mergeCell ref="DK4:DM4"/>
    <mergeCell ref="CD4:CF4"/>
    <mergeCell ref="CG4:CI4"/>
    <mergeCell ref="CJ4:CL4"/>
    <mergeCell ref="CM4:CO4"/>
    <mergeCell ref="CP4:CR4"/>
    <mergeCell ref="CS4:CU4"/>
    <mergeCell ref="BL4:BN4"/>
    <mergeCell ref="BO4:BQ4"/>
    <mergeCell ref="BR4:BT4"/>
    <mergeCell ref="BU4:BW4"/>
    <mergeCell ref="BX4:BZ4"/>
    <mergeCell ref="CA4:CC4"/>
    <mergeCell ref="AN4:AP4"/>
    <mergeCell ref="AQ4:AS4"/>
    <mergeCell ref="EF4:EH4"/>
    <mergeCell ref="EI4:EK4"/>
    <mergeCell ref="AT4:AV4"/>
    <mergeCell ref="AW4:AY4"/>
    <mergeCell ref="AZ4:BB4"/>
    <mergeCell ref="BC4:BE4"/>
    <mergeCell ref="BF4:BH4"/>
    <mergeCell ref="BI4:BK4"/>
    <mergeCell ref="S4:U4"/>
    <mergeCell ref="V4:X4"/>
    <mergeCell ref="Y4:AA4"/>
    <mergeCell ref="AB4:AD4"/>
    <mergeCell ref="AH4:AJ4"/>
    <mergeCell ref="AK4:AM4"/>
    <mergeCell ref="DW3:EB3"/>
    <mergeCell ref="EC3:EH3"/>
    <mergeCell ref="EI3:EN3"/>
    <mergeCell ref="A4:C4"/>
    <mergeCell ref="D4:F4"/>
    <mergeCell ref="G4:I4"/>
    <mergeCell ref="J4:L4"/>
    <mergeCell ref="AE4:AG4"/>
    <mergeCell ref="M4:O4"/>
    <mergeCell ref="P4:R4"/>
    <mergeCell ref="CM3:CR3"/>
    <mergeCell ref="CS3:CX3"/>
    <mergeCell ref="CY3:DD3"/>
    <mergeCell ref="DE3:DJ3"/>
    <mergeCell ref="DK3:DP3"/>
    <mergeCell ref="DQ3:DV3"/>
    <mergeCell ref="BC3:BH3"/>
    <mergeCell ref="BJ3:BN3"/>
    <mergeCell ref="BO3:BT3"/>
    <mergeCell ref="BU3:BZ3"/>
    <mergeCell ref="CA3:CF3"/>
    <mergeCell ref="CG3:CL3"/>
    <mergeCell ref="A2:EN2"/>
    <mergeCell ref="A3:F3"/>
    <mergeCell ref="G3:L3"/>
    <mergeCell ref="M3:R3"/>
    <mergeCell ref="S3:X3"/>
    <mergeCell ref="Y3:AD3"/>
    <mergeCell ref="AE3:AJ3"/>
    <mergeCell ref="AK3:AP3"/>
    <mergeCell ref="AQ3:AV3"/>
    <mergeCell ref="AW3:BB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CS203"/>
  <sheetViews>
    <sheetView zoomScalePageLayoutView="0" workbookViewId="0" topLeftCell="A49">
      <pane xSplit="1" topLeftCell="CJ1" activePane="topRight" state="frozen"/>
      <selection pane="topLeft" activeCell="A2" sqref="A2"/>
      <selection pane="topRight" activeCell="CT10" sqref="CT10"/>
    </sheetView>
  </sheetViews>
  <sheetFormatPr defaultColWidth="9.140625" defaultRowHeight="15"/>
  <cols>
    <col min="1" max="1" width="76.421875" style="1095" bestFit="1" customWidth="1"/>
    <col min="2" max="2" width="8.140625" style="737" customWidth="1"/>
    <col min="3" max="3" width="9.421875" style="737" customWidth="1"/>
    <col min="4" max="4" width="9.28125" style="737" customWidth="1"/>
    <col min="5" max="5" width="8.8515625" style="737" customWidth="1"/>
    <col min="6" max="6" width="8.28125" style="737" customWidth="1"/>
    <col min="7" max="7" width="7.7109375" style="737" customWidth="1"/>
    <col min="8" max="8" width="9.00390625" style="737" bestFit="1" customWidth="1"/>
    <col min="9" max="9" width="10.28125" style="737" bestFit="1" customWidth="1"/>
    <col min="10" max="10" width="9.00390625" style="737" customWidth="1"/>
    <col min="11" max="11" width="7.140625" style="737" customWidth="1"/>
    <col min="12" max="12" width="9.00390625" style="737" bestFit="1" customWidth="1"/>
    <col min="13" max="13" width="10.7109375" style="737" customWidth="1"/>
    <col min="14" max="14" width="8.7109375" style="737" customWidth="1"/>
    <col min="15" max="15" width="7.7109375" style="737" bestFit="1" customWidth="1"/>
    <col min="16" max="16" width="11.57421875" style="737" bestFit="1" customWidth="1"/>
    <col min="17" max="17" width="9.57421875" style="1096" bestFit="1" customWidth="1"/>
    <col min="18" max="18" width="8.00390625" style="737" bestFit="1" customWidth="1"/>
    <col min="19" max="20" width="7.7109375" style="737" bestFit="1" customWidth="1"/>
    <col min="21" max="22" width="9.57421875" style="737" bestFit="1" customWidth="1"/>
    <col min="23" max="23" width="8.57421875" style="737" customWidth="1"/>
    <col min="24" max="24" width="10.28125" style="737" bestFit="1" customWidth="1"/>
    <col min="25" max="25" width="10.8515625" style="737" bestFit="1" customWidth="1"/>
    <col min="26" max="26" width="10.7109375" style="737" bestFit="1" customWidth="1"/>
    <col min="27" max="27" width="7.7109375" style="737" bestFit="1" customWidth="1"/>
    <col min="28" max="28" width="10.28125" style="737" bestFit="1" customWidth="1"/>
    <col min="29" max="29" width="14.28125" style="737" bestFit="1" customWidth="1"/>
    <col min="30" max="30" width="8.00390625" style="737" bestFit="1" customWidth="1"/>
    <col min="31" max="31" width="7.7109375" style="737" bestFit="1" customWidth="1"/>
    <col min="32" max="32" width="9.00390625" style="737" bestFit="1" customWidth="1"/>
    <col min="33" max="33" width="9.00390625" style="737" customWidth="1"/>
    <col min="34" max="34" width="9.57421875" style="737" bestFit="1" customWidth="1"/>
    <col min="35" max="35" width="7.7109375" style="737" bestFit="1" customWidth="1"/>
    <col min="36" max="36" width="10.28125" style="737" bestFit="1" customWidth="1"/>
    <col min="37" max="37" width="12.421875" style="737" bestFit="1" customWidth="1"/>
    <col min="38" max="39" width="7.7109375" style="737" bestFit="1" customWidth="1"/>
    <col min="40" max="40" width="9.00390625" style="737" bestFit="1" customWidth="1"/>
    <col min="41" max="41" width="10.28125" style="737" bestFit="1" customWidth="1"/>
    <col min="42" max="42" width="11.140625" style="737" customWidth="1"/>
    <col min="43" max="43" width="9.00390625" style="737" bestFit="1" customWidth="1"/>
    <col min="44" max="44" width="10.00390625" style="737" customWidth="1"/>
    <col min="45" max="45" width="10.8515625" style="737" bestFit="1" customWidth="1"/>
    <col min="46" max="46" width="10.28125" style="737" bestFit="1" customWidth="1"/>
    <col min="47" max="47" width="9.00390625" style="737" bestFit="1" customWidth="1"/>
    <col min="48" max="48" width="7.7109375" style="737" customWidth="1"/>
    <col min="49" max="49" width="12.421875" style="737" bestFit="1" customWidth="1"/>
    <col min="50" max="50" width="7.28125" style="737" bestFit="1" customWidth="1"/>
    <col min="51" max="51" width="8.00390625" style="737" customWidth="1"/>
    <col min="52" max="52" width="9.8515625" style="737" customWidth="1"/>
    <col min="53" max="53" width="9.140625" style="737" customWidth="1"/>
    <col min="54" max="54" width="8.57421875" style="737" customWidth="1"/>
    <col min="55" max="55" width="7.7109375" style="737" bestFit="1" customWidth="1"/>
    <col min="56" max="56" width="10.28125" style="737" bestFit="1" customWidth="1"/>
    <col min="57" max="57" width="12.57421875" style="737" customWidth="1"/>
    <col min="58" max="58" width="10.57421875" style="737" customWidth="1"/>
    <col min="59" max="59" width="8.8515625" style="737" customWidth="1"/>
    <col min="60" max="60" width="9.7109375" style="737" customWidth="1"/>
    <col min="61" max="61" width="12.421875" style="737" customWidth="1"/>
    <col min="62" max="62" width="7.7109375" style="737" customWidth="1"/>
    <col min="63" max="64" width="9.00390625" style="737" bestFit="1" customWidth="1"/>
    <col min="65" max="65" width="10.28125" style="737" bestFit="1" customWidth="1"/>
    <col min="66" max="66" width="8.8515625" style="737" customWidth="1"/>
    <col min="67" max="67" width="9.140625" style="737" customWidth="1"/>
    <col min="68" max="68" width="7.7109375" style="737" bestFit="1" customWidth="1"/>
    <col min="69" max="69" width="9.140625" style="737" customWidth="1"/>
    <col min="70" max="71" width="7.7109375" style="737" bestFit="1" customWidth="1"/>
    <col min="72" max="72" width="9.8515625" style="737" bestFit="1" customWidth="1"/>
    <col min="73" max="73" width="10.28125" style="737" bestFit="1" customWidth="1"/>
    <col min="74" max="77" width="9.140625" style="737" customWidth="1"/>
    <col min="78" max="78" width="8.7109375" style="737" customWidth="1"/>
    <col min="79" max="79" width="9.00390625" style="737" bestFit="1" customWidth="1"/>
    <col min="80" max="80" width="10.28125" style="737" bestFit="1" customWidth="1"/>
    <col min="81" max="81" width="11.421875" style="737" customWidth="1"/>
    <col min="82" max="82" width="10.28125" style="737" bestFit="1" customWidth="1"/>
    <col min="83" max="83" width="7.57421875" style="737" customWidth="1"/>
    <col min="84" max="84" width="9.421875" style="737" customWidth="1"/>
    <col min="85" max="85" width="9.8515625" style="737" customWidth="1"/>
    <col min="86" max="86" width="9.140625" style="737" customWidth="1"/>
    <col min="87" max="87" width="8.00390625" style="737" customWidth="1"/>
    <col min="88" max="88" width="8.28125" style="737" customWidth="1"/>
    <col min="89" max="89" width="10.7109375" style="737" customWidth="1"/>
    <col min="90" max="90" width="7.7109375" style="737" bestFit="1" customWidth="1"/>
    <col min="91" max="91" width="9.140625" style="737" customWidth="1"/>
    <col min="92" max="92" width="9.00390625" style="737" bestFit="1" customWidth="1"/>
    <col min="93" max="93" width="10.28125" style="737" bestFit="1" customWidth="1"/>
    <col min="94" max="94" width="11.8515625" style="737" customWidth="1"/>
    <col min="95" max="95" width="9.140625" style="737" customWidth="1"/>
    <col min="96" max="96" width="11.57421875" style="737" bestFit="1" customWidth="1"/>
    <col min="97" max="97" width="14.28125" style="737" bestFit="1" customWidth="1"/>
    <col min="98" max="16384" width="9.140625" style="737" customWidth="1"/>
  </cols>
  <sheetData>
    <row r="1" ht="17.25" thickBot="1">
      <c r="A1" s="1100" t="s">
        <v>348</v>
      </c>
    </row>
    <row r="2" spans="1:97" s="738" customFormat="1" ht="33.75" customHeight="1" thickBot="1">
      <c r="A2" s="1101" t="s">
        <v>247</v>
      </c>
      <c r="B2" s="1259" t="s">
        <v>294</v>
      </c>
      <c r="C2" s="1260"/>
      <c r="D2" s="1260"/>
      <c r="E2" s="1261"/>
      <c r="F2" s="1262" t="s">
        <v>274</v>
      </c>
      <c r="G2" s="1263"/>
      <c r="H2" s="1263"/>
      <c r="I2" s="1264"/>
      <c r="J2" s="1263" t="s">
        <v>275</v>
      </c>
      <c r="K2" s="1263"/>
      <c r="L2" s="1263"/>
      <c r="M2" s="1264"/>
      <c r="N2" s="1263" t="s">
        <v>276</v>
      </c>
      <c r="O2" s="1263"/>
      <c r="P2" s="1263"/>
      <c r="Q2" s="1264"/>
      <c r="R2" s="1263" t="s">
        <v>277</v>
      </c>
      <c r="S2" s="1263"/>
      <c r="T2" s="1263"/>
      <c r="U2" s="1264"/>
      <c r="V2" s="1263" t="s">
        <v>278</v>
      </c>
      <c r="W2" s="1263"/>
      <c r="X2" s="1263"/>
      <c r="Y2" s="1264"/>
      <c r="Z2" s="1263" t="s">
        <v>349</v>
      </c>
      <c r="AA2" s="1263"/>
      <c r="AB2" s="1263"/>
      <c r="AC2" s="1264"/>
      <c r="AD2" s="1263" t="s">
        <v>279</v>
      </c>
      <c r="AE2" s="1263"/>
      <c r="AF2" s="1263"/>
      <c r="AG2" s="1264"/>
      <c r="AH2" s="1263" t="s">
        <v>280</v>
      </c>
      <c r="AI2" s="1263"/>
      <c r="AJ2" s="1263"/>
      <c r="AK2" s="1264"/>
      <c r="AL2" s="1263" t="s">
        <v>281</v>
      </c>
      <c r="AM2" s="1263"/>
      <c r="AN2" s="1263"/>
      <c r="AO2" s="1264"/>
      <c r="AP2" s="1263" t="s">
        <v>282</v>
      </c>
      <c r="AQ2" s="1263"/>
      <c r="AR2" s="1263"/>
      <c r="AS2" s="1264"/>
      <c r="AT2" s="1263" t="s">
        <v>283</v>
      </c>
      <c r="AU2" s="1263"/>
      <c r="AV2" s="1263"/>
      <c r="AW2" s="1264"/>
      <c r="AX2" s="1263" t="s">
        <v>284</v>
      </c>
      <c r="AY2" s="1263"/>
      <c r="AZ2" s="1263"/>
      <c r="BA2" s="1264"/>
      <c r="BB2" s="1263" t="s">
        <v>285</v>
      </c>
      <c r="BC2" s="1263"/>
      <c r="BD2" s="1263"/>
      <c r="BE2" s="1264"/>
      <c r="BF2" s="1263" t="s">
        <v>286</v>
      </c>
      <c r="BG2" s="1263"/>
      <c r="BH2" s="1263"/>
      <c r="BI2" s="1264"/>
      <c r="BJ2" s="1263" t="s">
        <v>287</v>
      </c>
      <c r="BK2" s="1263"/>
      <c r="BL2" s="1263"/>
      <c r="BM2" s="1264"/>
      <c r="BN2" s="1263" t="s">
        <v>288</v>
      </c>
      <c r="BO2" s="1263"/>
      <c r="BP2" s="1263"/>
      <c r="BQ2" s="1264"/>
      <c r="BR2" s="1263" t="s">
        <v>289</v>
      </c>
      <c r="BS2" s="1263"/>
      <c r="BT2" s="1263"/>
      <c r="BU2" s="1264"/>
      <c r="BV2" s="1263" t="s">
        <v>135</v>
      </c>
      <c r="BW2" s="1263"/>
      <c r="BX2" s="1263"/>
      <c r="BY2" s="1264"/>
      <c r="BZ2" s="1263" t="s">
        <v>290</v>
      </c>
      <c r="CA2" s="1263"/>
      <c r="CB2" s="1263"/>
      <c r="CC2" s="1264"/>
      <c r="CD2" s="1263" t="s">
        <v>291</v>
      </c>
      <c r="CE2" s="1263"/>
      <c r="CF2" s="1263"/>
      <c r="CG2" s="1264"/>
      <c r="CH2" s="1263" t="s">
        <v>292</v>
      </c>
      <c r="CI2" s="1263"/>
      <c r="CJ2" s="1263"/>
      <c r="CK2" s="1264"/>
      <c r="CL2" s="1263" t="s">
        <v>293</v>
      </c>
      <c r="CM2" s="1263"/>
      <c r="CN2" s="1263"/>
      <c r="CO2" s="1264"/>
      <c r="CP2" s="1263" t="s">
        <v>350</v>
      </c>
      <c r="CQ2" s="1263"/>
      <c r="CR2" s="1263"/>
      <c r="CS2" s="1264"/>
    </row>
    <row r="3" spans="1:97" s="738" customFormat="1" ht="72" thickBot="1">
      <c r="A3" s="1102" t="s">
        <v>0</v>
      </c>
      <c r="B3" s="739" t="s">
        <v>248</v>
      </c>
      <c r="C3" s="740" t="s">
        <v>221</v>
      </c>
      <c r="D3" s="740" t="s">
        <v>249</v>
      </c>
      <c r="E3" s="741" t="s">
        <v>250</v>
      </c>
      <c r="F3" s="742" t="s">
        <v>248</v>
      </c>
      <c r="G3" s="743" t="s">
        <v>221</v>
      </c>
      <c r="H3" s="743" t="s">
        <v>249</v>
      </c>
      <c r="I3" s="744" t="s">
        <v>250</v>
      </c>
      <c r="J3" s="745" t="s">
        <v>248</v>
      </c>
      <c r="K3" s="743" t="s">
        <v>221</v>
      </c>
      <c r="L3" s="743" t="s">
        <v>249</v>
      </c>
      <c r="M3" s="744" t="s">
        <v>250</v>
      </c>
      <c r="N3" s="745" t="s">
        <v>248</v>
      </c>
      <c r="O3" s="743" t="s">
        <v>221</v>
      </c>
      <c r="P3" s="743" t="s">
        <v>222</v>
      </c>
      <c r="Q3" s="1097" t="s">
        <v>250</v>
      </c>
      <c r="R3" s="745" t="s">
        <v>248</v>
      </c>
      <c r="S3" s="743" t="s">
        <v>221</v>
      </c>
      <c r="T3" s="743" t="s">
        <v>249</v>
      </c>
      <c r="U3" s="744" t="s">
        <v>250</v>
      </c>
      <c r="V3" s="745" t="s">
        <v>248</v>
      </c>
      <c r="W3" s="743" t="s">
        <v>221</v>
      </c>
      <c r="X3" s="743" t="s">
        <v>249</v>
      </c>
      <c r="Y3" s="744" t="s">
        <v>250</v>
      </c>
      <c r="Z3" s="745" t="s">
        <v>248</v>
      </c>
      <c r="AA3" s="743" t="s">
        <v>221</v>
      </c>
      <c r="AB3" s="743" t="s">
        <v>249</v>
      </c>
      <c r="AC3" s="744" t="s">
        <v>250</v>
      </c>
      <c r="AD3" s="745" t="s">
        <v>248</v>
      </c>
      <c r="AE3" s="743" t="s">
        <v>221</v>
      </c>
      <c r="AF3" s="743" t="s">
        <v>249</v>
      </c>
      <c r="AG3" s="744" t="s">
        <v>250</v>
      </c>
      <c r="AH3" s="745" t="s">
        <v>248</v>
      </c>
      <c r="AI3" s="743" t="s">
        <v>221</v>
      </c>
      <c r="AJ3" s="743" t="s">
        <v>249</v>
      </c>
      <c r="AK3" s="744" t="s">
        <v>250</v>
      </c>
      <c r="AL3" s="745" t="s">
        <v>248</v>
      </c>
      <c r="AM3" s="743" t="s">
        <v>221</v>
      </c>
      <c r="AN3" s="743" t="s">
        <v>249</v>
      </c>
      <c r="AO3" s="744" t="s">
        <v>250</v>
      </c>
      <c r="AP3" s="745" t="s">
        <v>248</v>
      </c>
      <c r="AQ3" s="743" t="s">
        <v>221</v>
      </c>
      <c r="AR3" s="743" t="s">
        <v>249</v>
      </c>
      <c r="AS3" s="744" t="s">
        <v>250</v>
      </c>
      <c r="AT3" s="745" t="s">
        <v>248</v>
      </c>
      <c r="AU3" s="743" t="s">
        <v>221</v>
      </c>
      <c r="AV3" s="743" t="s">
        <v>249</v>
      </c>
      <c r="AW3" s="744" t="s">
        <v>250</v>
      </c>
      <c r="AX3" s="745" t="s">
        <v>248</v>
      </c>
      <c r="AY3" s="743" t="s">
        <v>221</v>
      </c>
      <c r="AZ3" s="743" t="s">
        <v>249</v>
      </c>
      <c r="BA3" s="744" t="s">
        <v>250</v>
      </c>
      <c r="BB3" s="745" t="s">
        <v>248</v>
      </c>
      <c r="BC3" s="743" t="s">
        <v>221</v>
      </c>
      <c r="BD3" s="743" t="s">
        <v>249</v>
      </c>
      <c r="BE3" s="744" t="s">
        <v>250</v>
      </c>
      <c r="BF3" s="745" t="s">
        <v>248</v>
      </c>
      <c r="BG3" s="743" t="s">
        <v>221</v>
      </c>
      <c r="BH3" s="743" t="s">
        <v>249</v>
      </c>
      <c r="BI3" s="744" t="s">
        <v>250</v>
      </c>
      <c r="BJ3" s="745" t="s">
        <v>248</v>
      </c>
      <c r="BK3" s="743" t="s">
        <v>221</v>
      </c>
      <c r="BL3" s="743" t="s">
        <v>249</v>
      </c>
      <c r="BM3" s="744" t="s">
        <v>250</v>
      </c>
      <c r="BN3" s="745" t="s">
        <v>248</v>
      </c>
      <c r="BO3" s="743" t="s">
        <v>221</v>
      </c>
      <c r="BP3" s="743" t="s">
        <v>249</v>
      </c>
      <c r="BQ3" s="744" t="s">
        <v>250</v>
      </c>
      <c r="BR3" s="745" t="s">
        <v>248</v>
      </c>
      <c r="BS3" s="743" t="s">
        <v>221</v>
      </c>
      <c r="BT3" s="743" t="s">
        <v>249</v>
      </c>
      <c r="BU3" s="744" t="s">
        <v>250</v>
      </c>
      <c r="BV3" s="745" t="s">
        <v>248</v>
      </c>
      <c r="BW3" s="743" t="s">
        <v>221</v>
      </c>
      <c r="BX3" s="743" t="s">
        <v>249</v>
      </c>
      <c r="BY3" s="744" t="s">
        <v>250</v>
      </c>
      <c r="BZ3" s="745" t="s">
        <v>248</v>
      </c>
      <c r="CA3" s="743" t="s">
        <v>221</v>
      </c>
      <c r="CB3" s="743" t="s">
        <v>249</v>
      </c>
      <c r="CC3" s="744" t="s">
        <v>250</v>
      </c>
      <c r="CD3" s="745" t="s">
        <v>248</v>
      </c>
      <c r="CE3" s="743" t="s">
        <v>221</v>
      </c>
      <c r="CF3" s="743" t="s">
        <v>249</v>
      </c>
      <c r="CG3" s="744" t="s">
        <v>250</v>
      </c>
      <c r="CH3" s="745" t="s">
        <v>248</v>
      </c>
      <c r="CI3" s="743" t="s">
        <v>221</v>
      </c>
      <c r="CJ3" s="743" t="s">
        <v>249</v>
      </c>
      <c r="CK3" s="744" t="s">
        <v>250</v>
      </c>
      <c r="CL3" s="745" t="s">
        <v>248</v>
      </c>
      <c r="CM3" s="743" t="s">
        <v>221</v>
      </c>
      <c r="CN3" s="743" t="s">
        <v>249</v>
      </c>
      <c r="CO3" s="744" t="s">
        <v>250</v>
      </c>
      <c r="CP3" s="745" t="s">
        <v>248</v>
      </c>
      <c r="CQ3" s="743" t="s">
        <v>221</v>
      </c>
      <c r="CR3" s="743" t="s">
        <v>249</v>
      </c>
      <c r="CS3" s="744" t="s">
        <v>250</v>
      </c>
    </row>
    <row r="4" spans="1:97" ht="16.5">
      <c r="A4" s="1103" t="s">
        <v>251</v>
      </c>
      <c r="B4" s="746"/>
      <c r="C4" s="747"/>
      <c r="D4" s="747"/>
      <c r="E4" s="748"/>
      <c r="F4" s="749"/>
      <c r="G4" s="750"/>
      <c r="H4" s="750"/>
      <c r="I4" s="751"/>
      <c r="J4" s="752"/>
      <c r="K4" s="750"/>
      <c r="L4" s="750"/>
      <c r="M4" s="751"/>
      <c r="N4" s="752"/>
      <c r="O4" s="750"/>
      <c r="P4" s="750"/>
      <c r="Q4" s="1098"/>
      <c r="R4" s="749"/>
      <c r="S4" s="750"/>
      <c r="T4" s="750"/>
      <c r="U4" s="751"/>
      <c r="V4" s="752"/>
      <c r="W4" s="750"/>
      <c r="X4" s="750"/>
      <c r="Y4" s="751"/>
      <c r="Z4" s="752"/>
      <c r="AA4" s="750"/>
      <c r="AB4" s="750"/>
      <c r="AC4" s="751"/>
      <c r="AD4" s="752"/>
      <c r="AE4" s="750"/>
      <c r="AF4" s="750"/>
      <c r="AG4" s="751"/>
      <c r="AH4" s="752"/>
      <c r="AI4" s="750"/>
      <c r="AJ4" s="750"/>
      <c r="AK4" s="751"/>
      <c r="AL4" s="752"/>
      <c r="AM4" s="750"/>
      <c r="AN4" s="750"/>
      <c r="AO4" s="751"/>
      <c r="AP4" s="752"/>
      <c r="AQ4" s="750"/>
      <c r="AR4" s="750"/>
      <c r="AS4" s="751"/>
      <c r="AT4" s="752"/>
      <c r="AU4" s="750"/>
      <c r="AV4" s="750"/>
      <c r="AW4" s="751"/>
      <c r="AX4" s="752"/>
      <c r="AY4" s="750"/>
      <c r="AZ4" s="750"/>
      <c r="BA4" s="751"/>
      <c r="BB4" s="752"/>
      <c r="BC4" s="750"/>
      <c r="BD4" s="750"/>
      <c r="BE4" s="751"/>
      <c r="BF4" s="752"/>
      <c r="BG4" s="750"/>
      <c r="BH4" s="750"/>
      <c r="BI4" s="751"/>
      <c r="BJ4" s="752"/>
      <c r="BK4" s="750"/>
      <c r="BL4" s="750"/>
      <c r="BM4" s="751"/>
      <c r="BN4" s="752"/>
      <c r="BO4" s="750"/>
      <c r="BP4" s="750"/>
      <c r="BQ4" s="751"/>
      <c r="BR4" s="752"/>
      <c r="BS4" s="750"/>
      <c r="BT4" s="750"/>
      <c r="BU4" s="751"/>
      <c r="BV4" s="752"/>
      <c r="BW4" s="750"/>
      <c r="BX4" s="750"/>
      <c r="BY4" s="751"/>
      <c r="BZ4" s="752"/>
      <c r="CA4" s="750"/>
      <c r="CB4" s="750"/>
      <c r="CC4" s="751"/>
      <c r="CD4" s="752"/>
      <c r="CE4" s="750"/>
      <c r="CF4" s="750"/>
      <c r="CG4" s="751"/>
      <c r="CH4" s="752"/>
      <c r="CI4" s="750"/>
      <c r="CJ4" s="750"/>
      <c r="CK4" s="751"/>
      <c r="CL4" s="752"/>
      <c r="CM4" s="750"/>
      <c r="CN4" s="750"/>
      <c r="CO4" s="751"/>
      <c r="CP4" s="752"/>
      <c r="CQ4" s="750"/>
      <c r="CR4" s="750"/>
      <c r="CS4" s="751"/>
    </row>
    <row r="5" spans="1:97" ht="16.5">
      <c r="A5" s="1104" t="s">
        <v>252</v>
      </c>
      <c r="B5" s="791">
        <v>409</v>
      </c>
      <c r="C5" s="792">
        <v>842</v>
      </c>
      <c r="D5" s="793">
        <f>C5</f>
        <v>842</v>
      </c>
      <c r="E5" s="748">
        <v>1768</v>
      </c>
      <c r="F5" s="755">
        <v>49</v>
      </c>
      <c r="G5" s="747">
        <v>14999</v>
      </c>
      <c r="H5" s="747">
        <v>14997</v>
      </c>
      <c r="I5" s="756">
        <v>2372</v>
      </c>
      <c r="J5" s="746">
        <v>8</v>
      </c>
      <c r="K5" s="747">
        <v>248</v>
      </c>
      <c r="L5" s="747">
        <v>244</v>
      </c>
      <c r="M5" s="756">
        <v>102</v>
      </c>
      <c r="N5" s="746">
        <v>41</v>
      </c>
      <c r="O5" s="747">
        <v>-15</v>
      </c>
      <c r="P5" s="747">
        <v>-15</v>
      </c>
      <c r="Q5" s="778">
        <v>-17</v>
      </c>
      <c r="R5" s="755">
        <v>0.16</v>
      </c>
      <c r="S5" s="747">
        <v>4911</v>
      </c>
      <c r="T5" s="747">
        <v>4868</v>
      </c>
      <c r="U5" s="756">
        <v>3.98</v>
      </c>
      <c r="V5" s="746">
        <v>55</v>
      </c>
      <c r="W5" s="747">
        <v>55</v>
      </c>
      <c r="X5" s="747">
        <v>53</v>
      </c>
      <c r="Y5" s="756">
        <v>153.4</v>
      </c>
      <c r="Z5" s="746">
        <v>49.87</v>
      </c>
      <c r="AA5" s="747">
        <v>186</v>
      </c>
      <c r="AB5" s="747">
        <v>216</v>
      </c>
      <c r="AC5" s="756">
        <v>308.81</v>
      </c>
      <c r="AD5" s="746">
        <v>0.03</v>
      </c>
      <c r="AE5" s="747">
        <v>2023</v>
      </c>
      <c r="AF5" s="747">
        <v>2023</v>
      </c>
      <c r="AG5" s="756">
        <v>1.01</v>
      </c>
      <c r="AH5" s="746"/>
      <c r="AI5" s="747"/>
      <c r="AJ5" s="747"/>
      <c r="AK5" s="756"/>
      <c r="AL5" s="746"/>
      <c r="AM5" s="747">
        <v>8</v>
      </c>
      <c r="AN5" s="747">
        <v>7</v>
      </c>
      <c r="AO5" s="756">
        <v>80</v>
      </c>
      <c r="AP5" s="746">
        <v>43.19</v>
      </c>
      <c r="AQ5" s="737">
        <v>194</v>
      </c>
      <c r="AR5" s="747">
        <v>194</v>
      </c>
      <c r="AS5" s="756">
        <v>695.82</v>
      </c>
      <c r="AT5" s="746">
        <v>161.4</v>
      </c>
      <c r="AU5" s="747">
        <v>66</v>
      </c>
      <c r="AV5" s="747">
        <v>63</v>
      </c>
      <c r="AW5" s="756">
        <v>660.1</v>
      </c>
      <c r="AX5" s="746"/>
      <c r="AY5" s="747">
        <v>1</v>
      </c>
      <c r="AZ5" s="747">
        <v>1</v>
      </c>
      <c r="BA5" s="756">
        <v>0.05</v>
      </c>
      <c r="BB5" s="746">
        <v>91.1</v>
      </c>
      <c r="BC5" s="747">
        <v>14974</v>
      </c>
      <c r="BD5" s="747">
        <f>BC5</f>
        <v>14974</v>
      </c>
      <c r="BE5" s="756">
        <v>515.33</v>
      </c>
      <c r="BF5" s="746">
        <v>59.96</v>
      </c>
      <c r="BG5" s="747">
        <v>29982</v>
      </c>
      <c r="BH5" s="747">
        <f>BG5</f>
        <v>29982</v>
      </c>
      <c r="BI5" s="756">
        <v>1499.1</v>
      </c>
      <c r="BJ5" s="746">
        <v>76.28</v>
      </c>
      <c r="BK5" s="747"/>
      <c r="BL5" s="747"/>
      <c r="BM5" s="756">
        <v>208.98</v>
      </c>
      <c r="BN5" s="746">
        <v>40</v>
      </c>
      <c r="BO5" s="747">
        <v>108</v>
      </c>
      <c r="BP5" s="747">
        <v>101</v>
      </c>
      <c r="BQ5" s="756">
        <v>913</v>
      </c>
      <c r="BR5" s="746"/>
      <c r="BS5" s="747"/>
      <c r="BT5" s="747"/>
      <c r="BU5" s="756"/>
      <c r="BV5" s="746"/>
      <c r="BW5" s="747"/>
      <c r="BX5" s="747"/>
      <c r="BY5" s="756"/>
      <c r="BZ5" s="746"/>
      <c r="CA5" s="747">
        <v>344</v>
      </c>
      <c r="CB5" s="747">
        <v>344</v>
      </c>
      <c r="CC5" s="756">
        <v>1</v>
      </c>
      <c r="CF5" s="747"/>
      <c r="CG5" s="756"/>
      <c r="CH5" s="746">
        <v>-10.99</v>
      </c>
      <c r="CI5" s="747"/>
      <c r="CJ5" s="747"/>
      <c r="CK5" s="756">
        <v>10</v>
      </c>
      <c r="CL5" s="746"/>
      <c r="CM5" s="747"/>
      <c r="CN5" s="747"/>
      <c r="CO5" s="756"/>
      <c r="CP5" s="746">
        <v>110.29</v>
      </c>
      <c r="CQ5" s="747">
        <v>3155</v>
      </c>
      <c r="CR5" s="747">
        <v>1946</v>
      </c>
      <c r="CS5" s="756">
        <v>445.76</v>
      </c>
    </row>
    <row r="6" spans="1:97" ht="16.5">
      <c r="A6" s="1104" t="s">
        <v>253</v>
      </c>
      <c r="B6" s="791">
        <v>1491</v>
      </c>
      <c r="C6" s="792">
        <v>766</v>
      </c>
      <c r="D6" s="793">
        <f aca="true" t="shared" si="0" ref="D6:D11">C6</f>
        <v>766</v>
      </c>
      <c r="E6" s="748">
        <v>3058</v>
      </c>
      <c r="F6" s="755">
        <v>31</v>
      </c>
      <c r="G6" s="747">
        <v>19</v>
      </c>
      <c r="H6" s="747">
        <v>12</v>
      </c>
      <c r="I6" s="756">
        <v>104</v>
      </c>
      <c r="J6" s="746">
        <v>28</v>
      </c>
      <c r="K6" s="747">
        <v>17</v>
      </c>
      <c r="L6" s="747">
        <v>14</v>
      </c>
      <c r="M6" s="756">
        <v>215</v>
      </c>
      <c r="N6" s="746">
        <v>22</v>
      </c>
      <c r="O6" s="747"/>
      <c r="P6" s="747"/>
      <c r="Q6" s="778"/>
      <c r="R6" s="755">
        <v>2.21</v>
      </c>
      <c r="S6" s="747">
        <v>160</v>
      </c>
      <c r="T6" s="747">
        <v>160</v>
      </c>
      <c r="U6" s="756">
        <v>2.75</v>
      </c>
      <c r="V6" s="746">
        <v>88.2</v>
      </c>
      <c r="W6" s="747">
        <v>46</v>
      </c>
      <c r="X6" s="747">
        <v>43</v>
      </c>
      <c r="Y6" s="756">
        <v>204.3</v>
      </c>
      <c r="Z6" s="746">
        <v>136.83</v>
      </c>
      <c r="AA6" s="747">
        <v>84</v>
      </c>
      <c r="AB6" s="747">
        <v>78</v>
      </c>
      <c r="AC6" s="756">
        <v>323.69</v>
      </c>
      <c r="AD6" s="746"/>
      <c r="AE6" s="747"/>
      <c r="AF6" s="747"/>
      <c r="AG6" s="756"/>
      <c r="AH6" s="746">
        <v>151.02</v>
      </c>
      <c r="AI6" s="747"/>
      <c r="AJ6" s="747"/>
      <c r="AK6" s="756"/>
      <c r="AL6" s="746">
        <v>1</v>
      </c>
      <c r="AM6" s="747">
        <v>6</v>
      </c>
      <c r="AN6" s="747">
        <v>6</v>
      </c>
      <c r="AO6" s="756">
        <v>100</v>
      </c>
      <c r="AP6" s="746">
        <v>130.16</v>
      </c>
      <c r="AQ6" s="747">
        <v>384</v>
      </c>
      <c r="AR6" s="747">
        <v>384</v>
      </c>
      <c r="AS6" s="756">
        <v>673.24</v>
      </c>
      <c r="AT6" s="746">
        <v>570.7</v>
      </c>
      <c r="AU6" s="747">
        <v>12</v>
      </c>
      <c r="AV6" s="747">
        <v>12</v>
      </c>
      <c r="AW6" s="756">
        <v>202.5</v>
      </c>
      <c r="AX6" s="746">
        <v>0.53</v>
      </c>
      <c r="AY6" s="747">
        <v>217</v>
      </c>
      <c r="AZ6" s="747">
        <v>212</v>
      </c>
      <c r="BA6" s="756">
        <v>2.62</v>
      </c>
      <c r="BB6" s="746">
        <v>10.41</v>
      </c>
      <c r="BC6" s="747">
        <v>70</v>
      </c>
      <c r="BD6" s="747">
        <f aca="true" t="shared" si="1" ref="BD6:BD11">BC6</f>
        <v>70</v>
      </c>
      <c r="BE6" s="756">
        <v>95.55</v>
      </c>
      <c r="BF6" s="746">
        <v>36.49</v>
      </c>
      <c r="BG6" s="747">
        <v>231</v>
      </c>
      <c r="BH6" s="747">
        <f>BG6</f>
        <v>231</v>
      </c>
      <c r="BI6" s="756">
        <v>3526.92</v>
      </c>
      <c r="BJ6" s="746">
        <v>212.97</v>
      </c>
      <c r="BK6" s="747"/>
      <c r="BL6" s="747"/>
      <c r="BM6" s="756">
        <v>542.25</v>
      </c>
      <c r="BN6" s="746">
        <v>121</v>
      </c>
      <c r="BO6" s="747">
        <v>10</v>
      </c>
      <c r="BP6" s="747">
        <f>BO6</f>
        <v>10</v>
      </c>
      <c r="BQ6" s="756">
        <v>62</v>
      </c>
      <c r="BR6" s="746">
        <v>2</v>
      </c>
      <c r="BS6" s="747"/>
      <c r="BT6" s="747"/>
      <c r="BU6" s="756"/>
      <c r="BV6" s="746"/>
      <c r="BW6" s="747"/>
      <c r="BX6" s="747"/>
      <c r="BY6" s="756"/>
      <c r="BZ6" s="746">
        <v>2</v>
      </c>
      <c r="CA6" s="747">
        <v>1170</v>
      </c>
      <c r="CB6" s="747">
        <f aca="true" t="shared" si="2" ref="CB6:CB11">CA6</f>
        <v>1170</v>
      </c>
      <c r="CC6" s="756">
        <v>107</v>
      </c>
      <c r="CD6" s="746">
        <v>27</v>
      </c>
      <c r="CE6" s="747">
        <v>107</v>
      </c>
      <c r="CF6" s="747">
        <v>98</v>
      </c>
      <c r="CG6" s="756">
        <v>38</v>
      </c>
      <c r="CH6" s="746">
        <v>-1.4</v>
      </c>
      <c r="CI6" s="747"/>
      <c r="CJ6" s="747"/>
      <c r="CK6" s="756"/>
      <c r="CL6" s="746">
        <v>6</v>
      </c>
      <c r="CM6" s="747">
        <v>1</v>
      </c>
      <c r="CN6" s="747">
        <v>1</v>
      </c>
      <c r="CO6" s="756">
        <v>66</v>
      </c>
      <c r="CP6" s="746">
        <v>1659.41</v>
      </c>
      <c r="CQ6" s="747">
        <v>7183</v>
      </c>
      <c r="CR6" s="747">
        <v>5973</v>
      </c>
      <c r="CS6" s="756">
        <v>3591.2</v>
      </c>
    </row>
    <row r="7" spans="1:97" ht="16.5">
      <c r="A7" s="1104" t="s">
        <v>254</v>
      </c>
      <c r="B7" s="791">
        <v>1886</v>
      </c>
      <c r="C7" s="792">
        <v>444</v>
      </c>
      <c r="D7" s="793">
        <f t="shared" si="0"/>
        <v>444</v>
      </c>
      <c r="E7" s="748">
        <v>3868</v>
      </c>
      <c r="F7" s="755">
        <v>32</v>
      </c>
      <c r="G7" s="747">
        <v>8</v>
      </c>
      <c r="H7" s="747">
        <v>6</v>
      </c>
      <c r="I7" s="756">
        <v>404</v>
      </c>
      <c r="J7" s="746">
        <v>37</v>
      </c>
      <c r="K7" s="747">
        <v>9</v>
      </c>
      <c r="L7" s="747">
        <v>7</v>
      </c>
      <c r="M7" s="756">
        <v>62</v>
      </c>
      <c r="N7" s="746">
        <v>76</v>
      </c>
      <c r="O7" s="747">
        <v>91</v>
      </c>
      <c r="P7" s="747">
        <v>68</v>
      </c>
      <c r="Q7" s="778">
        <v>136</v>
      </c>
      <c r="R7" s="755">
        <v>2.26</v>
      </c>
      <c r="S7" s="747">
        <v>54</v>
      </c>
      <c r="T7" s="747">
        <v>54</v>
      </c>
      <c r="U7" s="756">
        <v>6.57</v>
      </c>
      <c r="V7" s="746">
        <v>210.1</v>
      </c>
      <c r="W7" s="747">
        <v>47</v>
      </c>
      <c r="X7" s="747">
        <v>46</v>
      </c>
      <c r="Y7" s="756">
        <v>406.3</v>
      </c>
      <c r="Z7" s="746">
        <v>93.95</v>
      </c>
      <c r="AA7" s="747">
        <v>24</v>
      </c>
      <c r="AB7" s="747">
        <v>24</v>
      </c>
      <c r="AC7" s="756">
        <v>156.33</v>
      </c>
      <c r="AD7" s="746">
        <v>0.06</v>
      </c>
      <c r="AE7" s="747">
        <v>14</v>
      </c>
      <c r="AF7" s="747">
        <v>14</v>
      </c>
      <c r="AG7" s="756">
        <v>0.91</v>
      </c>
      <c r="AH7" s="746">
        <v>264.23</v>
      </c>
      <c r="AI7" s="747">
        <v>94</v>
      </c>
      <c r="AJ7" s="747">
        <v>90</v>
      </c>
      <c r="AK7" s="756">
        <v>632.3</v>
      </c>
      <c r="AL7" s="746">
        <v>16</v>
      </c>
      <c r="AM7" s="747">
        <v>32</v>
      </c>
      <c r="AN7" s="747">
        <v>14</v>
      </c>
      <c r="AO7" s="756">
        <v>40</v>
      </c>
      <c r="AP7" s="746">
        <v>688.98</v>
      </c>
      <c r="AQ7" s="747">
        <v>1516</v>
      </c>
      <c r="AR7" s="747">
        <v>1516</v>
      </c>
      <c r="AS7" s="756">
        <v>1854.94</v>
      </c>
      <c r="AT7" s="746">
        <v>597.5</v>
      </c>
      <c r="AU7" s="747">
        <v>598</v>
      </c>
      <c r="AV7" s="747">
        <v>577</v>
      </c>
      <c r="AW7" s="756">
        <v>2177.7</v>
      </c>
      <c r="AX7" s="746">
        <v>2.97</v>
      </c>
      <c r="AY7" s="747">
        <v>653</v>
      </c>
      <c r="AZ7" s="747">
        <v>640</v>
      </c>
      <c r="BA7" s="756">
        <v>7.22</v>
      </c>
      <c r="BB7" s="746">
        <v>49.45</v>
      </c>
      <c r="BC7" s="747">
        <v>100</v>
      </c>
      <c r="BD7" s="747">
        <f t="shared" si="1"/>
        <v>100</v>
      </c>
      <c r="BE7" s="756">
        <v>117.44</v>
      </c>
      <c r="BF7" s="746">
        <v>33.01</v>
      </c>
      <c r="BG7" s="747">
        <v>98</v>
      </c>
      <c r="BH7" s="747">
        <f>BG7</f>
        <v>98</v>
      </c>
      <c r="BI7" s="756">
        <v>2539.98</v>
      </c>
      <c r="BJ7" s="746">
        <v>164.94</v>
      </c>
      <c r="BK7" s="747">
        <v>2</v>
      </c>
      <c r="BL7" s="747">
        <v>1</v>
      </c>
      <c r="BM7" s="756">
        <v>424.32</v>
      </c>
      <c r="BN7" s="746">
        <v>143</v>
      </c>
      <c r="BO7" s="747">
        <v>11</v>
      </c>
      <c r="BP7" s="747">
        <f>BO7</f>
        <v>11</v>
      </c>
      <c r="BQ7" s="756">
        <v>88</v>
      </c>
      <c r="BR7" s="746">
        <v>4</v>
      </c>
      <c r="BS7" s="747">
        <v>5</v>
      </c>
      <c r="BT7" s="747">
        <v>5</v>
      </c>
      <c r="BU7" s="756">
        <v>4</v>
      </c>
      <c r="BV7" s="746"/>
      <c r="BW7" s="747"/>
      <c r="BX7" s="747"/>
      <c r="BY7" s="756"/>
      <c r="BZ7" s="746">
        <v>12</v>
      </c>
      <c r="CA7" s="747">
        <v>2835</v>
      </c>
      <c r="CB7" s="747">
        <f t="shared" si="2"/>
        <v>2835</v>
      </c>
      <c r="CC7" s="756">
        <v>134</v>
      </c>
      <c r="CD7" s="746">
        <v>146</v>
      </c>
      <c r="CE7" s="747">
        <v>312</v>
      </c>
      <c r="CF7" s="747">
        <v>278</v>
      </c>
      <c r="CG7" s="756">
        <v>512</v>
      </c>
      <c r="CH7" s="746">
        <v>0.45</v>
      </c>
      <c r="CI7" s="747">
        <v>1</v>
      </c>
      <c r="CJ7" s="747">
        <v>1</v>
      </c>
      <c r="CK7" s="756">
        <v>50</v>
      </c>
      <c r="CL7" s="746">
        <v>12</v>
      </c>
      <c r="CM7" s="747"/>
      <c r="CN7" s="747"/>
      <c r="CO7" s="756">
        <v>55</v>
      </c>
      <c r="CP7" s="746">
        <v>81368.18</v>
      </c>
      <c r="CQ7" s="747">
        <v>205709</v>
      </c>
      <c r="CR7" s="747">
        <v>173103</v>
      </c>
      <c r="CS7" s="756">
        <v>127470.58</v>
      </c>
    </row>
    <row r="8" spans="1:97" ht="16.5">
      <c r="A8" s="1104" t="s">
        <v>255</v>
      </c>
      <c r="B8" s="794">
        <v>730</v>
      </c>
      <c r="C8" s="792">
        <v>107</v>
      </c>
      <c r="D8" s="793">
        <f t="shared" si="0"/>
        <v>107</v>
      </c>
      <c r="E8" s="748">
        <v>1497</v>
      </c>
      <c r="F8" s="755">
        <v>8</v>
      </c>
      <c r="G8" s="747">
        <v>1</v>
      </c>
      <c r="H8" s="747">
        <v>1</v>
      </c>
      <c r="I8" s="756">
        <v>7</v>
      </c>
      <c r="J8" s="746">
        <v>7</v>
      </c>
      <c r="K8" s="747">
        <v>1</v>
      </c>
      <c r="L8" s="747">
        <v>1</v>
      </c>
      <c r="M8" s="756">
        <v>9</v>
      </c>
      <c r="N8" s="746">
        <v>13</v>
      </c>
      <c r="O8" s="747">
        <v>15</v>
      </c>
      <c r="P8" s="747">
        <v>10</v>
      </c>
      <c r="Q8" s="778">
        <v>33</v>
      </c>
      <c r="R8" s="755">
        <v>1</v>
      </c>
      <c r="S8" s="747">
        <v>16</v>
      </c>
      <c r="T8" s="747">
        <v>16</v>
      </c>
      <c r="U8" s="756">
        <v>4.13</v>
      </c>
      <c r="V8" s="746">
        <v>59.5</v>
      </c>
      <c r="W8" s="747">
        <v>9</v>
      </c>
      <c r="X8" s="747">
        <v>9</v>
      </c>
      <c r="Y8" s="756">
        <v>197</v>
      </c>
      <c r="Z8" s="746">
        <v>18.42</v>
      </c>
      <c r="AA8" s="747">
        <v>3</v>
      </c>
      <c r="AB8" s="747">
        <v>3</v>
      </c>
      <c r="AC8" s="756">
        <v>23.02</v>
      </c>
      <c r="AD8" s="746">
        <v>0.07</v>
      </c>
      <c r="AE8" s="747">
        <v>9</v>
      </c>
      <c r="AF8" s="747">
        <v>7</v>
      </c>
      <c r="AG8" s="756">
        <v>0.4</v>
      </c>
      <c r="AH8" s="746">
        <v>33.34</v>
      </c>
      <c r="AI8" s="747">
        <v>55</v>
      </c>
      <c r="AJ8" s="747">
        <v>54</v>
      </c>
      <c r="AK8" s="756">
        <v>814.04</v>
      </c>
      <c r="AL8" s="746">
        <v>7</v>
      </c>
      <c r="AM8" s="747">
        <v>11</v>
      </c>
      <c r="AN8" s="747">
        <v>4</v>
      </c>
      <c r="AO8" s="756">
        <v>15</v>
      </c>
      <c r="AP8" s="737">
        <v>321.47</v>
      </c>
      <c r="AQ8" s="747">
        <v>548</v>
      </c>
      <c r="AR8" s="747">
        <v>550</v>
      </c>
      <c r="AS8" s="756">
        <v>1122.22</v>
      </c>
      <c r="AT8" s="746">
        <v>261</v>
      </c>
      <c r="AU8" s="747">
        <v>227</v>
      </c>
      <c r="AV8" s="747">
        <v>223</v>
      </c>
      <c r="AW8" s="756">
        <v>1127.1</v>
      </c>
      <c r="AX8" s="746">
        <v>0.64</v>
      </c>
      <c r="AY8" s="747">
        <v>102</v>
      </c>
      <c r="AZ8" s="747">
        <v>100</v>
      </c>
      <c r="BA8" s="756">
        <v>1.89</v>
      </c>
      <c r="BB8" s="746">
        <v>9.9</v>
      </c>
      <c r="BC8" s="747">
        <v>14</v>
      </c>
      <c r="BD8" s="747">
        <f t="shared" si="1"/>
        <v>14</v>
      </c>
      <c r="BE8" s="756">
        <v>61.08</v>
      </c>
      <c r="BF8" s="746">
        <v>20.65</v>
      </c>
      <c r="BG8" s="747">
        <v>35</v>
      </c>
      <c r="BH8" s="747">
        <f>BG8</f>
        <v>35</v>
      </c>
      <c r="BI8" s="756">
        <v>1624.97</v>
      </c>
      <c r="BJ8" s="746">
        <v>59.88</v>
      </c>
      <c r="BK8" s="747"/>
      <c r="BL8" s="747"/>
      <c r="BM8" s="756">
        <v>166.07</v>
      </c>
      <c r="BN8" s="746">
        <v>13</v>
      </c>
      <c r="BO8" s="747">
        <v>2</v>
      </c>
      <c r="BP8" s="747">
        <f>BO8</f>
        <v>2</v>
      </c>
      <c r="BQ8" s="756">
        <v>6</v>
      </c>
      <c r="BR8" s="746">
        <v>23</v>
      </c>
      <c r="BS8" s="747">
        <v>35</v>
      </c>
      <c r="BT8" s="747">
        <v>34</v>
      </c>
      <c r="BU8" s="756">
        <v>59</v>
      </c>
      <c r="BV8" s="746"/>
      <c r="BW8" s="747"/>
      <c r="BX8" s="747"/>
      <c r="BY8" s="756"/>
      <c r="BZ8" s="746">
        <v>9</v>
      </c>
      <c r="CA8" s="747">
        <v>1351</v>
      </c>
      <c r="CB8" s="747">
        <f t="shared" si="2"/>
        <v>1351</v>
      </c>
      <c r="CC8" s="756">
        <v>61</v>
      </c>
      <c r="CD8" s="746">
        <v>38</v>
      </c>
      <c r="CE8" s="747">
        <v>60</v>
      </c>
      <c r="CF8" s="747">
        <v>54</v>
      </c>
      <c r="CG8" s="756">
        <v>52</v>
      </c>
      <c r="CH8" s="746"/>
      <c r="CI8" s="747"/>
      <c r="CJ8" s="747"/>
      <c r="CK8" s="756"/>
      <c r="CL8" s="746">
        <v>2</v>
      </c>
      <c r="CM8" s="747"/>
      <c r="CN8" s="747"/>
      <c r="CO8" s="756">
        <v>18</v>
      </c>
      <c r="CP8" s="746">
        <v>41501.83</v>
      </c>
      <c r="CQ8" s="747">
        <v>69860</v>
      </c>
      <c r="CR8" s="747">
        <v>59934</v>
      </c>
      <c r="CS8" s="756">
        <v>73858.31</v>
      </c>
    </row>
    <row r="9" spans="1:97" ht="16.5">
      <c r="A9" s="1104" t="s">
        <v>256</v>
      </c>
      <c r="B9" s="791">
        <v>721</v>
      </c>
      <c r="C9" s="792">
        <v>69</v>
      </c>
      <c r="D9" s="793">
        <f t="shared" si="0"/>
        <v>69</v>
      </c>
      <c r="E9" s="748">
        <v>1480</v>
      </c>
      <c r="F9" s="755">
        <v>18</v>
      </c>
      <c r="G9" s="747">
        <v>2</v>
      </c>
      <c r="H9" s="747">
        <v>2</v>
      </c>
      <c r="I9" s="756">
        <v>208</v>
      </c>
      <c r="J9" s="746">
        <v>18</v>
      </c>
      <c r="K9" s="747">
        <v>2</v>
      </c>
      <c r="L9" s="747">
        <v>2</v>
      </c>
      <c r="M9" s="756">
        <v>30</v>
      </c>
      <c r="N9" s="746">
        <v>94</v>
      </c>
      <c r="O9" s="747">
        <v>73</v>
      </c>
      <c r="P9" s="747">
        <v>51</v>
      </c>
      <c r="Q9" s="778">
        <v>189</v>
      </c>
      <c r="R9" s="755">
        <v>2.11</v>
      </c>
      <c r="S9" s="747">
        <v>22</v>
      </c>
      <c r="T9" s="747">
        <v>22</v>
      </c>
      <c r="U9" s="756">
        <v>19.61</v>
      </c>
      <c r="V9" s="746">
        <v>91</v>
      </c>
      <c r="W9" s="747">
        <v>9</v>
      </c>
      <c r="X9" s="747">
        <v>8</v>
      </c>
      <c r="Y9" s="756">
        <v>252.5</v>
      </c>
      <c r="Z9" s="746">
        <v>59.04</v>
      </c>
      <c r="AA9" s="747">
        <v>6</v>
      </c>
      <c r="AB9" s="747">
        <v>6</v>
      </c>
      <c r="AC9" s="756">
        <v>70.81</v>
      </c>
      <c r="AD9" s="746">
        <v>0.45</v>
      </c>
      <c r="AE9" s="747">
        <v>45</v>
      </c>
      <c r="AF9" s="747">
        <v>34</v>
      </c>
      <c r="AG9" s="756">
        <v>1.65</v>
      </c>
      <c r="AH9" s="746">
        <v>407.22</v>
      </c>
      <c r="AI9" s="747">
        <v>410</v>
      </c>
      <c r="AJ9" s="747">
        <v>397</v>
      </c>
      <c r="AK9" s="756">
        <v>2673.4</v>
      </c>
      <c r="AL9" s="746">
        <v>36</v>
      </c>
      <c r="AM9" s="747">
        <v>38</v>
      </c>
      <c r="AN9" s="747">
        <v>16</v>
      </c>
      <c r="AO9" s="756">
        <v>90</v>
      </c>
      <c r="AP9" s="746">
        <v>1461.8</v>
      </c>
      <c r="AQ9" s="747">
        <v>1569</v>
      </c>
      <c r="AR9" s="747">
        <v>1576</v>
      </c>
      <c r="AS9" s="756">
        <v>2615.78</v>
      </c>
      <c r="AT9" s="746">
        <v>771.7</v>
      </c>
      <c r="AU9" s="747">
        <v>693</v>
      </c>
      <c r="AV9" s="747">
        <v>684</v>
      </c>
      <c r="AW9" s="756">
        <v>4148.4</v>
      </c>
      <c r="AX9" s="746">
        <v>6.8</v>
      </c>
      <c r="AY9" s="747">
        <v>684</v>
      </c>
      <c r="AZ9" s="747">
        <v>664</v>
      </c>
      <c r="BA9" s="756">
        <v>13.15</v>
      </c>
      <c r="BB9" s="746">
        <v>111.85</v>
      </c>
      <c r="BC9" s="747">
        <v>113</v>
      </c>
      <c r="BD9" s="747">
        <f t="shared" si="1"/>
        <v>113</v>
      </c>
      <c r="BE9" s="756">
        <v>208.12</v>
      </c>
      <c r="BF9" s="746">
        <v>281.92</v>
      </c>
      <c r="BG9" s="747">
        <v>283</v>
      </c>
      <c r="BH9" s="747">
        <v>276</v>
      </c>
      <c r="BI9" s="756">
        <v>1378.81</v>
      </c>
      <c r="BJ9" s="746">
        <v>57.43</v>
      </c>
      <c r="BK9" s="747">
        <v>93</v>
      </c>
      <c r="BL9" s="747">
        <v>92</v>
      </c>
      <c r="BM9" s="756">
        <v>142.81</v>
      </c>
      <c r="BN9" s="746">
        <v>93</v>
      </c>
      <c r="BO9" s="747">
        <v>6</v>
      </c>
      <c r="BP9" s="747">
        <f>BO9</f>
        <v>6</v>
      </c>
      <c r="BQ9" s="756">
        <v>52</v>
      </c>
      <c r="BR9" s="746">
        <v>135</v>
      </c>
      <c r="BS9" s="747">
        <v>139</v>
      </c>
      <c r="BT9" s="747">
        <v>130</v>
      </c>
      <c r="BU9" s="756">
        <v>334</v>
      </c>
      <c r="BV9" s="746"/>
      <c r="BW9" s="747"/>
      <c r="BX9" s="747"/>
      <c r="BY9" s="756"/>
      <c r="BZ9" s="746">
        <v>28</v>
      </c>
      <c r="CA9" s="747">
        <v>2909</v>
      </c>
      <c r="CB9" s="747">
        <f t="shared" si="2"/>
        <v>2909</v>
      </c>
      <c r="CC9" s="756">
        <v>67</v>
      </c>
      <c r="CD9" s="746">
        <v>373</v>
      </c>
      <c r="CE9" s="747">
        <v>375</v>
      </c>
      <c r="CF9" s="747">
        <v>339</v>
      </c>
      <c r="CG9" s="756">
        <v>766</v>
      </c>
      <c r="CH9" s="746">
        <v>435</v>
      </c>
      <c r="CI9" s="747">
        <v>435</v>
      </c>
      <c r="CJ9" s="747">
        <v>435</v>
      </c>
      <c r="CK9" s="756">
        <v>712.6</v>
      </c>
      <c r="CL9" s="746">
        <v>53</v>
      </c>
      <c r="CM9" s="747">
        <v>49</v>
      </c>
      <c r="CN9" s="747">
        <v>47</v>
      </c>
      <c r="CO9" s="756">
        <v>2</v>
      </c>
      <c r="CP9" s="746">
        <v>49647.99</v>
      </c>
      <c r="CQ9" s="747">
        <v>54089</v>
      </c>
      <c r="CR9" s="747">
        <v>46863</v>
      </c>
      <c r="CS9" s="756">
        <v>87718.03</v>
      </c>
    </row>
    <row r="10" spans="1:97" ht="16.5">
      <c r="A10" s="1104" t="s">
        <v>257</v>
      </c>
      <c r="B10" s="794">
        <v>363</v>
      </c>
      <c r="C10" s="792">
        <v>28</v>
      </c>
      <c r="D10" s="793">
        <f t="shared" si="0"/>
        <v>28</v>
      </c>
      <c r="E10" s="748">
        <v>745</v>
      </c>
      <c r="F10" s="755"/>
      <c r="G10" s="747"/>
      <c r="H10" s="747"/>
      <c r="I10" s="756"/>
      <c r="J10" s="746"/>
      <c r="K10" s="747"/>
      <c r="L10" s="747"/>
      <c r="M10" s="756"/>
      <c r="N10" s="746">
        <v>13</v>
      </c>
      <c r="O10" s="747">
        <v>5</v>
      </c>
      <c r="P10" s="747">
        <v>2</v>
      </c>
      <c r="Q10" s="778">
        <v>18</v>
      </c>
      <c r="R10" s="755">
        <v>0.62</v>
      </c>
      <c r="S10" s="747">
        <v>5</v>
      </c>
      <c r="T10" s="747">
        <v>5</v>
      </c>
      <c r="U10" s="756">
        <v>5.11</v>
      </c>
      <c r="V10" s="746">
        <v>22.3</v>
      </c>
      <c r="W10" s="747">
        <v>2</v>
      </c>
      <c r="X10" s="747">
        <v>2</v>
      </c>
      <c r="Y10" s="756">
        <v>27.9</v>
      </c>
      <c r="Z10" s="746">
        <v>47.04</v>
      </c>
      <c r="AA10" s="747">
        <v>4</v>
      </c>
      <c r="AB10" s="747">
        <v>3</v>
      </c>
      <c r="AC10" s="756">
        <v>58.8</v>
      </c>
      <c r="AD10" s="746">
        <v>0.02</v>
      </c>
      <c r="AE10" s="747">
        <v>1</v>
      </c>
      <c r="AF10" s="747">
        <v>1</v>
      </c>
      <c r="AG10" s="756">
        <v>0.11</v>
      </c>
      <c r="AH10" s="746">
        <v>73.43</v>
      </c>
      <c r="AI10" s="747">
        <v>63</v>
      </c>
      <c r="AJ10" s="747">
        <v>63</v>
      </c>
      <c r="AK10" s="756">
        <v>869.15</v>
      </c>
      <c r="AL10" s="746">
        <v>2</v>
      </c>
      <c r="AM10" s="747">
        <v>2</v>
      </c>
      <c r="AN10" s="747">
        <v>1</v>
      </c>
      <c r="AO10" s="756">
        <v>5</v>
      </c>
      <c r="AP10" s="746">
        <v>330.54</v>
      </c>
      <c r="AQ10" s="747">
        <v>375</v>
      </c>
      <c r="AR10" s="747">
        <v>380</v>
      </c>
      <c r="AS10" s="756">
        <v>970.88</v>
      </c>
      <c r="AT10" s="746">
        <v>197.1</v>
      </c>
      <c r="AU10" s="747">
        <v>148</v>
      </c>
      <c r="AV10" s="747">
        <v>143</v>
      </c>
      <c r="AW10" s="756">
        <v>1314.8</v>
      </c>
      <c r="AX10" s="746">
        <v>0.49</v>
      </c>
      <c r="AY10" s="747">
        <v>40</v>
      </c>
      <c r="AZ10" s="747">
        <v>40</v>
      </c>
      <c r="BA10" s="756">
        <v>0.95</v>
      </c>
      <c r="BB10" s="746">
        <v>19.05</v>
      </c>
      <c r="BC10" s="747">
        <v>17</v>
      </c>
      <c r="BD10" s="747">
        <f t="shared" si="1"/>
        <v>17</v>
      </c>
      <c r="BE10" s="756">
        <v>80.46</v>
      </c>
      <c r="BF10" s="746">
        <v>53.26</v>
      </c>
      <c r="BG10" s="747">
        <v>46</v>
      </c>
      <c r="BH10" s="747">
        <v>45</v>
      </c>
      <c r="BI10" s="756">
        <v>576.52</v>
      </c>
      <c r="BJ10" s="746">
        <v>22.32</v>
      </c>
      <c r="BK10" s="747">
        <v>20</v>
      </c>
      <c r="BL10" s="747">
        <v>20</v>
      </c>
      <c r="BM10" s="756">
        <v>63.53</v>
      </c>
      <c r="BN10" s="746">
        <v>12</v>
      </c>
      <c r="BO10" s="747"/>
      <c r="BP10" s="747"/>
      <c r="BQ10" s="756"/>
      <c r="BR10" s="746">
        <v>7</v>
      </c>
      <c r="BS10" s="747">
        <v>6</v>
      </c>
      <c r="BT10" s="747">
        <v>6</v>
      </c>
      <c r="BU10" s="756">
        <v>17</v>
      </c>
      <c r="BV10" s="746"/>
      <c r="BW10" s="747"/>
      <c r="BX10" s="747"/>
      <c r="BY10" s="756"/>
      <c r="BZ10" s="746">
        <v>4</v>
      </c>
      <c r="CA10" s="747">
        <v>350</v>
      </c>
      <c r="CB10" s="747">
        <f t="shared" si="2"/>
        <v>350</v>
      </c>
      <c r="CC10" s="756">
        <v>29</v>
      </c>
      <c r="CD10" s="746">
        <v>89</v>
      </c>
      <c r="CE10" s="747">
        <v>75</v>
      </c>
      <c r="CF10" s="747">
        <v>65</v>
      </c>
      <c r="CG10" s="756">
        <v>138</v>
      </c>
      <c r="CH10" s="746">
        <v>24.45</v>
      </c>
      <c r="CI10" s="747">
        <v>21</v>
      </c>
      <c r="CJ10" s="747">
        <v>21</v>
      </c>
      <c r="CK10" s="756">
        <v>40.27</v>
      </c>
      <c r="CL10" s="746">
        <v>9</v>
      </c>
      <c r="CM10" s="747">
        <v>4</v>
      </c>
      <c r="CN10" s="747">
        <v>4</v>
      </c>
      <c r="CO10" s="756">
        <v>118</v>
      </c>
      <c r="CP10" s="746">
        <v>38232.23</v>
      </c>
      <c r="CQ10" s="747">
        <v>35570</v>
      </c>
      <c r="CR10" s="747">
        <v>30977</v>
      </c>
      <c r="CS10" s="756">
        <v>69889.53</v>
      </c>
    </row>
    <row r="11" spans="1:97" ht="16.5">
      <c r="A11" s="1104" t="s">
        <v>258</v>
      </c>
      <c r="B11" s="791">
        <v>2578</v>
      </c>
      <c r="C11" s="792">
        <v>69</v>
      </c>
      <c r="D11" s="793">
        <f t="shared" si="0"/>
        <v>69</v>
      </c>
      <c r="E11" s="748">
        <v>5287</v>
      </c>
      <c r="F11" s="755">
        <v>82</v>
      </c>
      <c r="G11" s="747">
        <v>3</v>
      </c>
      <c r="H11" s="747">
        <v>3</v>
      </c>
      <c r="I11" s="756">
        <v>1150</v>
      </c>
      <c r="J11" s="746">
        <v>25</v>
      </c>
      <c r="K11" s="747">
        <v>1</v>
      </c>
      <c r="L11" s="747">
        <v>1</v>
      </c>
      <c r="M11" s="756">
        <v>31</v>
      </c>
      <c r="N11" s="746">
        <v>4496</v>
      </c>
      <c r="O11" s="747">
        <v>113</v>
      </c>
      <c r="P11" s="747">
        <v>76</v>
      </c>
      <c r="Q11" s="778">
        <v>2915</v>
      </c>
      <c r="R11" s="755">
        <v>22.76</v>
      </c>
      <c r="S11" s="747">
        <v>67</v>
      </c>
      <c r="T11" s="747">
        <v>67</v>
      </c>
      <c r="U11" s="756">
        <v>188.79</v>
      </c>
      <c r="V11" s="746">
        <v>429</v>
      </c>
      <c r="W11" s="747">
        <v>12</v>
      </c>
      <c r="X11" s="747">
        <v>11</v>
      </c>
      <c r="Y11" s="756">
        <v>911.3</v>
      </c>
      <c r="Z11" s="746">
        <v>320.48</v>
      </c>
      <c r="AA11" s="747">
        <v>6</v>
      </c>
      <c r="AB11" s="747">
        <v>6</v>
      </c>
      <c r="AC11" s="756">
        <v>1844.35</v>
      </c>
      <c r="AD11" s="746">
        <v>2.54</v>
      </c>
      <c r="AE11" s="747">
        <v>64</v>
      </c>
      <c r="AF11" s="747">
        <v>44</v>
      </c>
      <c r="AG11" s="756">
        <v>8.72</v>
      </c>
      <c r="AH11" s="746">
        <v>4298.78</v>
      </c>
      <c r="AI11" s="747">
        <v>891</v>
      </c>
      <c r="AJ11" s="747">
        <v>820</v>
      </c>
      <c r="AK11" s="756">
        <v>18505.64</v>
      </c>
      <c r="AL11" s="746">
        <v>218</v>
      </c>
      <c r="AM11" s="747">
        <v>64</v>
      </c>
      <c r="AN11" s="747">
        <v>30</v>
      </c>
      <c r="AO11" s="756">
        <v>426</v>
      </c>
      <c r="AP11" s="746">
        <v>91510.03</v>
      </c>
      <c r="AQ11" s="747">
        <v>12853</v>
      </c>
      <c r="AR11" s="747">
        <v>14052</v>
      </c>
      <c r="AS11" s="756">
        <v>62515.05</v>
      </c>
      <c r="AT11" s="746">
        <v>20689</v>
      </c>
      <c r="AU11" s="747">
        <v>2599</v>
      </c>
      <c r="AV11" s="747">
        <v>2572</v>
      </c>
      <c r="AW11" s="756">
        <v>134222</v>
      </c>
      <c r="AX11" s="746">
        <v>83.12</v>
      </c>
      <c r="AY11" s="747">
        <v>1641</v>
      </c>
      <c r="AZ11" s="747">
        <v>1332</v>
      </c>
      <c r="BA11" s="756">
        <v>144.01</v>
      </c>
      <c r="BB11" s="746">
        <v>1166.8</v>
      </c>
      <c r="BC11" s="747">
        <v>187</v>
      </c>
      <c r="BD11" s="747">
        <f t="shared" si="1"/>
        <v>187</v>
      </c>
      <c r="BE11" s="756">
        <v>1606.14</v>
      </c>
      <c r="BF11" s="746">
        <v>28836.37</v>
      </c>
      <c r="BG11" s="747">
        <v>2411</v>
      </c>
      <c r="BH11" s="747">
        <v>2204</v>
      </c>
      <c r="BI11" s="756">
        <v>293575.56</v>
      </c>
      <c r="BJ11" s="746">
        <v>95.27</v>
      </c>
      <c r="BK11" s="747">
        <v>118</v>
      </c>
      <c r="BL11" s="747">
        <v>113</v>
      </c>
      <c r="BM11" s="756">
        <v>243.59</v>
      </c>
      <c r="BN11" s="746">
        <v>151</v>
      </c>
      <c r="BO11" s="747">
        <v>31</v>
      </c>
      <c r="BP11" s="747">
        <v>31</v>
      </c>
      <c r="BQ11" s="756">
        <v>249</v>
      </c>
      <c r="BR11" s="746">
        <v>647</v>
      </c>
      <c r="BS11" s="747">
        <v>178</v>
      </c>
      <c r="BT11" s="747">
        <v>153</v>
      </c>
      <c r="BU11" s="756">
        <v>1297</v>
      </c>
      <c r="BV11" s="746"/>
      <c r="BW11" s="747"/>
      <c r="BX11" s="747"/>
      <c r="BY11" s="756"/>
      <c r="BZ11" s="746">
        <v>1183</v>
      </c>
      <c r="CA11" s="747">
        <v>15147</v>
      </c>
      <c r="CB11" s="747">
        <f t="shared" si="2"/>
        <v>15147</v>
      </c>
      <c r="CC11" s="756">
        <v>801</v>
      </c>
      <c r="CD11" s="746">
        <v>1998</v>
      </c>
      <c r="CE11" s="747">
        <v>561</v>
      </c>
      <c r="CF11" s="747">
        <v>480</v>
      </c>
      <c r="CG11" s="756">
        <v>3146</v>
      </c>
      <c r="CH11" s="746">
        <v>2517.54</v>
      </c>
      <c r="CI11" s="747">
        <v>566</v>
      </c>
      <c r="CJ11" s="747">
        <v>566</v>
      </c>
      <c r="CK11" s="756">
        <v>3869.04</v>
      </c>
      <c r="CL11" s="746">
        <v>7937</v>
      </c>
      <c r="CM11" s="747">
        <v>381</v>
      </c>
      <c r="CN11" s="747">
        <v>587</v>
      </c>
      <c r="CO11" s="756">
        <v>82896</v>
      </c>
      <c r="CP11" s="746">
        <v>287697.34</v>
      </c>
      <c r="CQ11" s="747">
        <v>87692</v>
      </c>
      <c r="CR11" s="747">
        <v>74017</v>
      </c>
      <c r="CS11" s="756">
        <v>502644.03</v>
      </c>
    </row>
    <row r="12" spans="1:97" ht="16.5">
      <c r="A12" s="1103" t="s">
        <v>259</v>
      </c>
      <c r="B12" s="746"/>
      <c r="C12" s="747"/>
      <c r="D12" s="747"/>
      <c r="E12" s="748"/>
      <c r="F12" s="755"/>
      <c r="G12" s="747"/>
      <c r="H12" s="747"/>
      <c r="I12" s="756"/>
      <c r="J12" s="746"/>
      <c r="K12" s="747"/>
      <c r="L12" s="747"/>
      <c r="M12" s="756"/>
      <c r="N12" s="746"/>
      <c r="O12" s="747"/>
      <c r="P12" s="747"/>
      <c r="Q12" s="778"/>
      <c r="R12" s="755"/>
      <c r="S12" s="747"/>
      <c r="T12" s="747"/>
      <c r="U12" s="756"/>
      <c r="V12" s="746"/>
      <c r="W12" s="747"/>
      <c r="X12" s="747"/>
      <c r="Y12" s="756"/>
      <c r="Z12" s="746"/>
      <c r="AA12" s="747"/>
      <c r="AB12" s="747"/>
      <c r="AC12" s="756"/>
      <c r="AD12" s="746"/>
      <c r="AE12" s="747"/>
      <c r="AF12" s="747"/>
      <c r="AG12" s="756"/>
      <c r="AH12" s="746"/>
      <c r="AI12" s="747"/>
      <c r="AJ12" s="747"/>
      <c r="AK12" s="756"/>
      <c r="AL12" s="746"/>
      <c r="AM12" s="747"/>
      <c r="AN12" s="747"/>
      <c r="AO12" s="756"/>
      <c r="AP12" s="746"/>
      <c r="AQ12" s="747"/>
      <c r="AR12" s="747"/>
      <c r="AS12" s="756"/>
      <c r="AT12" s="746"/>
      <c r="AU12" s="747"/>
      <c r="AV12" s="747"/>
      <c r="AW12" s="756"/>
      <c r="AX12" s="746"/>
      <c r="AY12" s="747"/>
      <c r="AZ12" s="747"/>
      <c r="BA12" s="756"/>
      <c r="BB12" s="746"/>
      <c r="BC12" s="747"/>
      <c r="BD12" s="747"/>
      <c r="BE12" s="756"/>
      <c r="BF12" s="746"/>
      <c r="BG12" s="747"/>
      <c r="BH12" s="747"/>
      <c r="BI12" s="756"/>
      <c r="BJ12" s="746"/>
      <c r="BK12" s="747"/>
      <c r="BL12" s="747"/>
      <c r="BM12" s="756"/>
      <c r="BN12" s="746"/>
      <c r="BO12" s="747"/>
      <c r="BP12" s="747"/>
      <c r="BQ12" s="756"/>
      <c r="BR12" s="746"/>
      <c r="BS12" s="747"/>
      <c r="BT12" s="747"/>
      <c r="BU12" s="756"/>
      <c r="BV12" s="746"/>
      <c r="BW12" s="747"/>
      <c r="BX12" s="747"/>
      <c r="BY12" s="756"/>
      <c r="BZ12" s="746"/>
      <c r="CA12" s="747"/>
      <c r="CB12" s="747"/>
      <c r="CC12" s="756"/>
      <c r="CD12" s="746"/>
      <c r="CE12" s="747"/>
      <c r="CF12" s="747"/>
      <c r="CG12" s="756"/>
      <c r="CH12" s="746"/>
      <c r="CI12" s="747"/>
      <c r="CJ12" s="747"/>
      <c r="CK12" s="756"/>
      <c r="CL12" s="746"/>
      <c r="CM12" s="747"/>
      <c r="CN12" s="747"/>
      <c r="CO12" s="756"/>
      <c r="CP12" s="746"/>
      <c r="CQ12" s="747"/>
      <c r="CR12" s="747"/>
      <c r="CS12" s="756"/>
    </row>
    <row r="13" spans="1:97" ht="16.5">
      <c r="A13" s="1104" t="s">
        <v>260</v>
      </c>
      <c r="B13" s="753"/>
      <c r="C13" s="747"/>
      <c r="D13" s="754"/>
      <c r="E13" s="748"/>
      <c r="F13" s="755"/>
      <c r="G13" s="747"/>
      <c r="H13" s="747"/>
      <c r="I13" s="756"/>
      <c r="J13" s="746">
        <v>221</v>
      </c>
      <c r="K13" s="747">
        <v>76</v>
      </c>
      <c r="L13" s="747">
        <v>68</v>
      </c>
      <c r="M13" s="756"/>
      <c r="N13" s="746">
        <v>-9</v>
      </c>
      <c r="O13" s="747">
        <v>1</v>
      </c>
      <c r="P13" s="747">
        <v>1</v>
      </c>
      <c r="Q13" s="778"/>
      <c r="R13" s="755"/>
      <c r="S13" s="747"/>
      <c r="T13" s="747"/>
      <c r="U13" s="756"/>
      <c r="V13" s="746">
        <v>139.4</v>
      </c>
      <c r="W13" s="746">
        <v>61</v>
      </c>
      <c r="X13" s="747">
        <v>59</v>
      </c>
      <c r="Y13" s="756">
        <v>143.2</v>
      </c>
      <c r="Z13" s="746"/>
      <c r="AA13" s="747"/>
      <c r="AB13" s="747"/>
      <c r="AC13" s="756"/>
      <c r="AD13" s="746"/>
      <c r="AE13" s="747"/>
      <c r="AF13" s="747"/>
      <c r="AG13" s="756"/>
      <c r="AH13" s="746"/>
      <c r="AI13" s="747"/>
      <c r="AJ13" s="747"/>
      <c r="AK13" s="756"/>
      <c r="AL13" s="746">
        <v>4</v>
      </c>
      <c r="AM13" s="747">
        <v>9</v>
      </c>
      <c r="AN13" s="747">
        <v>8</v>
      </c>
      <c r="AO13" s="756"/>
      <c r="AP13" s="746">
        <v>356.75</v>
      </c>
      <c r="AQ13" s="747">
        <v>924</v>
      </c>
      <c r="AR13" s="747">
        <v>931</v>
      </c>
      <c r="AS13" s="756">
        <v>22.76</v>
      </c>
      <c r="AT13" s="746">
        <v>4944.9</v>
      </c>
      <c r="AU13" s="747">
        <v>1082</v>
      </c>
      <c r="AV13" s="747">
        <v>1084</v>
      </c>
      <c r="AW13" s="756">
        <v>1123.4</v>
      </c>
      <c r="AX13" s="746"/>
      <c r="AY13" s="747"/>
      <c r="AZ13" s="747"/>
      <c r="BA13" s="756"/>
      <c r="BB13" s="746">
        <v>37</v>
      </c>
      <c r="BC13" s="747">
        <v>9</v>
      </c>
      <c r="BD13" s="747">
        <v>9</v>
      </c>
      <c r="BE13" s="756">
        <v>37</v>
      </c>
      <c r="BF13" s="746"/>
      <c r="BG13" s="747"/>
      <c r="BH13" s="747"/>
      <c r="BI13" s="756"/>
      <c r="BJ13" s="746">
        <v>0.66</v>
      </c>
      <c r="BK13" s="747"/>
      <c r="BL13" s="747"/>
      <c r="BM13" s="756">
        <v>0.45</v>
      </c>
      <c r="BN13" s="746">
        <v>341</v>
      </c>
      <c r="BO13" s="747">
        <v>202</v>
      </c>
      <c r="BP13" s="747">
        <v>190</v>
      </c>
      <c r="BQ13" s="756">
        <v>27</v>
      </c>
      <c r="BR13" s="746"/>
      <c r="BS13" s="747"/>
      <c r="BT13" s="747"/>
      <c r="BU13" s="756"/>
      <c r="BV13" s="746"/>
      <c r="BW13" s="747"/>
      <c r="BX13" s="747"/>
      <c r="BY13" s="756"/>
      <c r="BZ13" s="746"/>
      <c r="CA13" s="747"/>
      <c r="CB13" s="747"/>
      <c r="CC13" s="756"/>
      <c r="CD13" s="746"/>
      <c r="CE13" s="747"/>
      <c r="CF13" s="747"/>
      <c r="CG13" s="756"/>
      <c r="CH13" s="746"/>
      <c r="CI13" s="747"/>
      <c r="CJ13" s="747"/>
      <c r="CK13" s="756"/>
      <c r="CL13" s="746"/>
      <c r="CM13" s="747"/>
      <c r="CN13" s="747"/>
      <c r="CO13" s="756"/>
      <c r="CP13" s="746">
        <v>10</v>
      </c>
      <c r="CQ13" s="747">
        <v>20</v>
      </c>
      <c r="CR13" s="747">
        <v>19</v>
      </c>
      <c r="CS13" s="756"/>
    </row>
    <row r="14" spans="1:97" ht="16.5">
      <c r="A14" s="1104" t="s">
        <v>261</v>
      </c>
      <c r="B14" s="757"/>
      <c r="C14" s="747"/>
      <c r="D14" s="758"/>
      <c r="E14" s="748"/>
      <c r="F14" s="755"/>
      <c r="G14" s="747"/>
      <c r="H14" s="747"/>
      <c r="I14" s="756"/>
      <c r="J14" s="746">
        <v>147</v>
      </c>
      <c r="K14" s="747">
        <v>22</v>
      </c>
      <c r="L14" s="747">
        <v>21</v>
      </c>
      <c r="M14" s="756"/>
      <c r="N14" s="746">
        <v>1</v>
      </c>
      <c r="O14" s="747"/>
      <c r="P14" s="747"/>
      <c r="Q14" s="778"/>
      <c r="R14" s="755"/>
      <c r="S14" s="747"/>
      <c r="T14" s="747"/>
      <c r="U14" s="756"/>
      <c r="V14" s="746">
        <v>271.6</v>
      </c>
      <c r="W14" s="746">
        <v>31</v>
      </c>
      <c r="X14" s="747">
        <v>30</v>
      </c>
      <c r="Y14" s="756">
        <v>271.6</v>
      </c>
      <c r="Z14" s="746"/>
      <c r="AA14" s="747"/>
      <c r="AB14" s="747"/>
      <c r="AC14" s="756"/>
      <c r="AD14" s="746">
        <v>0.01</v>
      </c>
      <c r="AE14" s="747">
        <v>1</v>
      </c>
      <c r="AF14" s="747">
        <v>1</v>
      </c>
      <c r="AG14" s="756">
        <v>0.01</v>
      </c>
      <c r="AH14" s="746">
        <v>-6.97</v>
      </c>
      <c r="AI14" s="747">
        <v>-9</v>
      </c>
      <c r="AJ14" s="747">
        <v>-9</v>
      </c>
      <c r="AK14" s="756">
        <v>-0.35</v>
      </c>
      <c r="AL14" s="746">
        <v>17</v>
      </c>
      <c r="AM14" s="747">
        <v>22</v>
      </c>
      <c r="AN14" s="747">
        <v>21</v>
      </c>
      <c r="AO14" s="756">
        <v>1</v>
      </c>
      <c r="AP14" s="746">
        <v>1662.91</v>
      </c>
      <c r="AQ14" s="747">
        <v>1984</v>
      </c>
      <c r="AR14" s="747">
        <v>2001</v>
      </c>
      <c r="AS14" s="756">
        <v>105.73</v>
      </c>
      <c r="AT14" s="746">
        <v>1084.2</v>
      </c>
      <c r="AU14" s="747">
        <v>224</v>
      </c>
      <c r="AV14" s="747">
        <v>237</v>
      </c>
      <c r="AW14" s="756">
        <v>864</v>
      </c>
      <c r="AX14" s="746"/>
      <c r="AY14" s="747"/>
      <c r="AZ14" s="747"/>
      <c r="BA14" s="756"/>
      <c r="BB14" s="746"/>
      <c r="BC14" s="747"/>
      <c r="BD14" s="747"/>
      <c r="BE14" s="756"/>
      <c r="BF14" s="746">
        <v>1</v>
      </c>
      <c r="BG14" s="746">
        <v>1</v>
      </c>
      <c r="BH14" s="747">
        <v>1</v>
      </c>
      <c r="BI14" s="756">
        <v>0.16</v>
      </c>
      <c r="BJ14" s="746">
        <v>0.03</v>
      </c>
      <c r="BK14" s="747">
        <v>1</v>
      </c>
      <c r="BL14" s="747">
        <v>1</v>
      </c>
      <c r="BM14" s="756">
        <v>0.29</v>
      </c>
      <c r="BN14" s="746">
        <v>98</v>
      </c>
      <c r="BO14" s="747">
        <v>5</v>
      </c>
      <c r="BP14" s="747">
        <v>5</v>
      </c>
      <c r="BQ14" s="756">
        <v>2</v>
      </c>
      <c r="BR14" s="746">
        <v>101</v>
      </c>
      <c r="BS14" s="747">
        <v>105</v>
      </c>
      <c r="BT14" s="747">
        <v>94</v>
      </c>
      <c r="BU14" s="756">
        <v>6</v>
      </c>
      <c r="BV14" s="746"/>
      <c r="BW14" s="747"/>
      <c r="BX14" s="747"/>
      <c r="BY14" s="756"/>
      <c r="BZ14" s="746"/>
      <c r="CA14" s="747"/>
      <c r="CB14" s="747"/>
      <c r="CC14" s="756"/>
      <c r="CD14" s="746"/>
      <c r="CE14" s="747"/>
      <c r="CF14" s="747"/>
      <c r="CG14" s="756"/>
      <c r="CH14" s="746"/>
      <c r="CI14" s="747"/>
      <c r="CJ14" s="747"/>
      <c r="CK14" s="756"/>
      <c r="CL14" s="746">
        <v>8</v>
      </c>
      <c r="CM14" s="747">
        <v>8</v>
      </c>
      <c r="CN14" s="747">
        <v>8</v>
      </c>
      <c r="CO14" s="756">
        <v>8</v>
      </c>
      <c r="CP14" s="746">
        <v>7183.01</v>
      </c>
      <c r="CQ14" s="747">
        <v>7204</v>
      </c>
      <c r="CR14" s="747">
        <v>6627</v>
      </c>
      <c r="CS14" s="756">
        <v>63.15</v>
      </c>
    </row>
    <row r="15" spans="1:97" ht="16.5">
      <c r="A15" s="1104" t="s">
        <v>262</v>
      </c>
      <c r="B15" s="753"/>
      <c r="C15" s="747"/>
      <c r="D15" s="754"/>
      <c r="E15" s="748"/>
      <c r="F15" s="755"/>
      <c r="G15" s="747"/>
      <c r="H15" s="747"/>
      <c r="I15" s="756"/>
      <c r="J15" s="746">
        <v>60</v>
      </c>
      <c r="K15" s="747">
        <v>5</v>
      </c>
      <c r="L15" s="747">
        <v>4</v>
      </c>
      <c r="M15" s="756"/>
      <c r="N15" s="746"/>
      <c r="O15" s="747"/>
      <c r="P15" s="747"/>
      <c r="Q15" s="778"/>
      <c r="R15" s="755"/>
      <c r="S15" s="747"/>
      <c r="T15" s="747"/>
      <c r="U15" s="756"/>
      <c r="V15" s="746">
        <v>177</v>
      </c>
      <c r="W15" s="746">
        <v>13</v>
      </c>
      <c r="X15" s="747">
        <v>12</v>
      </c>
      <c r="Y15" s="756">
        <v>177</v>
      </c>
      <c r="Z15" s="746"/>
      <c r="AA15" s="747"/>
      <c r="AB15" s="747"/>
      <c r="AC15" s="756"/>
      <c r="AD15" s="746"/>
      <c r="AE15" s="747"/>
      <c r="AF15" s="747"/>
      <c r="AG15" s="756"/>
      <c r="AH15" s="746">
        <v>-2.6</v>
      </c>
      <c r="AI15" s="747">
        <v>-2</v>
      </c>
      <c r="AJ15" s="747">
        <v>-2</v>
      </c>
      <c r="AK15" s="756">
        <v>-0.12</v>
      </c>
      <c r="AL15" s="746">
        <v>14</v>
      </c>
      <c r="AM15" s="747">
        <v>11</v>
      </c>
      <c r="AN15" s="747">
        <v>11</v>
      </c>
      <c r="AO15" s="756">
        <v>1</v>
      </c>
      <c r="AP15" s="746">
        <v>2705.13</v>
      </c>
      <c r="AQ15" s="747">
        <v>2010</v>
      </c>
      <c r="AR15" s="747">
        <v>2047</v>
      </c>
      <c r="AS15" s="756">
        <v>168.26</v>
      </c>
      <c r="AT15" s="746">
        <v>914.8</v>
      </c>
      <c r="AU15" s="747">
        <v>285</v>
      </c>
      <c r="AV15" s="747">
        <v>327</v>
      </c>
      <c r="AW15" s="756">
        <v>847.6</v>
      </c>
      <c r="AX15" s="746"/>
      <c r="AY15" s="747"/>
      <c r="AZ15" s="747"/>
      <c r="BA15" s="756"/>
      <c r="BB15" s="746"/>
      <c r="BC15" s="747"/>
      <c r="BD15" s="747"/>
      <c r="BE15" s="756"/>
      <c r="BF15" s="746">
        <v>12.52</v>
      </c>
      <c r="BG15" s="746">
        <v>9</v>
      </c>
      <c r="BH15" s="747">
        <v>9</v>
      </c>
      <c r="BI15" s="756">
        <v>1.24</v>
      </c>
      <c r="BJ15" s="746">
        <v>0.19</v>
      </c>
      <c r="BK15" s="747">
        <v>13</v>
      </c>
      <c r="BL15" s="747">
        <v>12</v>
      </c>
      <c r="BM15" s="756">
        <v>0.04</v>
      </c>
      <c r="BN15" s="746">
        <v>32</v>
      </c>
      <c r="BO15" s="747">
        <v>7</v>
      </c>
      <c r="BP15" s="747">
        <v>5</v>
      </c>
      <c r="BQ15" s="756">
        <v>1</v>
      </c>
      <c r="BR15" s="746">
        <v>242</v>
      </c>
      <c r="BS15" s="747">
        <v>202</v>
      </c>
      <c r="BT15" s="747">
        <v>181</v>
      </c>
      <c r="BU15" s="756">
        <v>15</v>
      </c>
      <c r="BV15" s="746"/>
      <c r="BW15" s="747"/>
      <c r="BX15" s="747"/>
      <c r="BY15" s="756"/>
      <c r="BZ15" s="746"/>
      <c r="CA15" s="747"/>
      <c r="CB15" s="747"/>
      <c r="CC15" s="756"/>
      <c r="CD15" s="746"/>
      <c r="CE15" s="747"/>
      <c r="CF15" s="747"/>
      <c r="CG15" s="756"/>
      <c r="CH15" s="747">
        <v>4.48</v>
      </c>
      <c r="CI15" s="747">
        <v>3</v>
      </c>
      <c r="CJ15" s="747">
        <v>3</v>
      </c>
      <c r="CK15" s="756">
        <v>0.46</v>
      </c>
      <c r="CL15" s="746">
        <v>120</v>
      </c>
      <c r="CM15" s="747">
        <v>90</v>
      </c>
      <c r="CN15" s="747">
        <v>91</v>
      </c>
      <c r="CO15" s="756">
        <v>120</v>
      </c>
      <c r="CP15" s="746">
        <v>27651.5</v>
      </c>
      <c r="CQ15" s="747">
        <v>18833</v>
      </c>
      <c r="CR15" s="747">
        <v>17155</v>
      </c>
      <c r="CS15" s="756">
        <v>139.85</v>
      </c>
    </row>
    <row r="16" spans="1:97" ht="16.5">
      <c r="A16" s="1104" t="s">
        <v>263</v>
      </c>
      <c r="B16" s="757"/>
      <c r="C16" s="747"/>
      <c r="D16" s="758"/>
      <c r="E16" s="748"/>
      <c r="F16" s="755"/>
      <c r="G16" s="747"/>
      <c r="H16" s="747"/>
      <c r="I16" s="756"/>
      <c r="J16" s="746">
        <v>36</v>
      </c>
      <c r="K16" s="747">
        <v>2</v>
      </c>
      <c r="L16" s="747">
        <v>1</v>
      </c>
      <c r="M16" s="756"/>
      <c r="N16" s="746"/>
      <c r="O16" s="747"/>
      <c r="P16" s="747"/>
      <c r="Q16" s="778"/>
      <c r="R16" s="755"/>
      <c r="S16" s="747"/>
      <c r="T16" s="747"/>
      <c r="U16" s="756"/>
      <c r="V16" s="746">
        <v>261.4</v>
      </c>
      <c r="W16" s="746">
        <v>14</v>
      </c>
      <c r="X16" s="747">
        <v>14</v>
      </c>
      <c r="Y16" s="756">
        <v>261.4</v>
      </c>
      <c r="Z16" s="746"/>
      <c r="AA16" s="747"/>
      <c r="AB16" s="747"/>
      <c r="AC16" s="756"/>
      <c r="AD16" s="746">
        <v>0.18</v>
      </c>
      <c r="AE16" s="747">
        <v>9</v>
      </c>
      <c r="AF16" s="747">
        <v>8</v>
      </c>
      <c r="AG16" s="756">
        <v>0.18</v>
      </c>
      <c r="AH16" s="746">
        <v>4</v>
      </c>
      <c r="AI16" s="747">
        <v>2</v>
      </c>
      <c r="AJ16" s="747">
        <v>2</v>
      </c>
      <c r="AK16" s="756">
        <v>0.24</v>
      </c>
      <c r="AL16" s="746">
        <v>38</v>
      </c>
      <c r="AM16" s="747">
        <v>23</v>
      </c>
      <c r="AN16" s="747">
        <v>22</v>
      </c>
      <c r="AO16" s="756">
        <v>3</v>
      </c>
      <c r="AP16" s="746">
        <v>4063.51</v>
      </c>
      <c r="AQ16" s="747">
        <v>2022</v>
      </c>
      <c r="AR16" s="747">
        <v>2065</v>
      </c>
      <c r="AS16" s="756">
        <v>240.02</v>
      </c>
      <c r="AT16" s="746">
        <v>1167.5</v>
      </c>
      <c r="AU16" s="747">
        <v>383</v>
      </c>
      <c r="AV16" s="747">
        <v>450</v>
      </c>
      <c r="AW16" s="756">
        <v>1049.6</v>
      </c>
      <c r="AX16" s="746"/>
      <c r="AY16" s="747"/>
      <c r="AZ16" s="747"/>
      <c r="BA16" s="756"/>
      <c r="BB16" s="746"/>
      <c r="BC16" s="747"/>
      <c r="BD16" s="747"/>
      <c r="BE16" s="756"/>
      <c r="BF16" s="746">
        <v>328.66</v>
      </c>
      <c r="BG16" s="746">
        <v>169</v>
      </c>
      <c r="BH16" s="747">
        <v>155</v>
      </c>
      <c r="BI16" s="756">
        <v>23.1</v>
      </c>
      <c r="BJ16" s="746">
        <v>1.98</v>
      </c>
      <c r="BK16" s="747">
        <v>104</v>
      </c>
      <c r="BL16" s="747">
        <v>103</v>
      </c>
      <c r="BM16" s="756">
        <v>0.25</v>
      </c>
      <c r="BN16" s="746">
        <v>-4</v>
      </c>
      <c r="BO16" s="747">
        <v>3</v>
      </c>
      <c r="BP16" s="747">
        <v>2</v>
      </c>
      <c r="BQ16" s="756">
        <v>1</v>
      </c>
      <c r="BR16" s="746">
        <v>164</v>
      </c>
      <c r="BS16" s="747">
        <v>93</v>
      </c>
      <c r="BT16" s="747">
        <v>78</v>
      </c>
      <c r="BU16" s="756">
        <v>10</v>
      </c>
      <c r="BV16" s="746"/>
      <c r="BW16" s="747"/>
      <c r="BX16" s="747"/>
      <c r="BY16" s="756"/>
      <c r="BZ16" s="746"/>
      <c r="CA16" s="747"/>
      <c r="CB16" s="747"/>
      <c r="CC16" s="756"/>
      <c r="CD16" s="746"/>
      <c r="CE16" s="747"/>
      <c r="CF16" s="747"/>
      <c r="CG16" s="756"/>
      <c r="CH16" s="747">
        <v>105.53</v>
      </c>
      <c r="CI16" s="747">
        <v>53</v>
      </c>
      <c r="CJ16" s="747">
        <v>53</v>
      </c>
      <c r="CK16" s="756">
        <v>3.13</v>
      </c>
      <c r="CL16" s="746">
        <v>313</v>
      </c>
      <c r="CM16" s="747">
        <v>167</v>
      </c>
      <c r="CN16" s="747">
        <v>169</v>
      </c>
      <c r="CO16" s="756">
        <v>311</v>
      </c>
      <c r="CP16" s="746">
        <v>71296.26</v>
      </c>
      <c r="CQ16" s="747">
        <v>36608</v>
      </c>
      <c r="CR16" s="747">
        <v>33012</v>
      </c>
      <c r="CS16" s="756">
        <v>126.9</v>
      </c>
    </row>
    <row r="17" spans="1:97" ht="16.5">
      <c r="A17" s="1104" t="s">
        <v>264</v>
      </c>
      <c r="B17" s="757"/>
      <c r="C17" s="747"/>
      <c r="D17" s="758"/>
      <c r="E17" s="748"/>
      <c r="F17" s="755"/>
      <c r="G17" s="747"/>
      <c r="H17" s="747"/>
      <c r="I17" s="756"/>
      <c r="J17" s="746">
        <v>46</v>
      </c>
      <c r="K17" s="747">
        <v>2</v>
      </c>
      <c r="L17" s="747">
        <v>2</v>
      </c>
      <c r="M17" s="756"/>
      <c r="N17" s="746"/>
      <c r="O17" s="747"/>
      <c r="P17" s="747"/>
      <c r="Q17" s="778"/>
      <c r="R17" s="755"/>
      <c r="S17" s="747"/>
      <c r="T17" s="747"/>
      <c r="U17" s="756"/>
      <c r="V17" s="746">
        <v>69.5</v>
      </c>
      <c r="W17" s="746">
        <v>3</v>
      </c>
      <c r="X17" s="747">
        <v>2</v>
      </c>
      <c r="Y17" s="756">
        <v>69.5</v>
      </c>
      <c r="Z17" s="746"/>
      <c r="AA17" s="747"/>
      <c r="AB17" s="747"/>
      <c r="AC17" s="756"/>
      <c r="AD17" s="746">
        <v>0.08</v>
      </c>
      <c r="AE17" s="747">
        <v>3</v>
      </c>
      <c r="AF17" s="747">
        <v>3</v>
      </c>
      <c r="AG17" s="756">
        <v>0.08</v>
      </c>
      <c r="AH17" s="746">
        <v>175.38</v>
      </c>
      <c r="AI17" s="747">
        <v>78</v>
      </c>
      <c r="AJ17" s="747">
        <v>74</v>
      </c>
      <c r="AK17" s="756">
        <v>10.84</v>
      </c>
      <c r="AL17" s="746">
        <v>13</v>
      </c>
      <c r="AM17" s="747">
        <v>6</v>
      </c>
      <c r="AN17" s="747">
        <v>5</v>
      </c>
      <c r="AO17" s="756">
        <v>1</v>
      </c>
      <c r="AP17" s="746">
        <v>3224.51</v>
      </c>
      <c r="AQ17" s="747">
        <v>1265</v>
      </c>
      <c r="AR17" s="747">
        <v>1296</v>
      </c>
      <c r="AS17" s="756">
        <v>188.2</v>
      </c>
      <c r="AT17" s="746">
        <v>2531.7</v>
      </c>
      <c r="AU17" s="747">
        <v>983</v>
      </c>
      <c r="AV17" s="747">
        <v>1184</v>
      </c>
      <c r="AW17" s="756">
        <v>2260.9</v>
      </c>
      <c r="AX17" s="746"/>
      <c r="AY17" s="747"/>
      <c r="AZ17" s="747"/>
      <c r="BA17" s="756"/>
      <c r="BB17" s="746"/>
      <c r="BC17" s="747"/>
      <c r="BD17" s="747"/>
      <c r="BE17" s="756"/>
      <c r="BF17" s="746">
        <v>34.81</v>
      </c>
      <c r="BG17" s="746">
        <v>158</v>
      </c>
      <c r="BH17" s="747">
        <v>148</v>
      </c>
      <c r="BI17" s="756">
        <v>25.98</v>
      </c>
      <c r="BJ17" s="746">
        <v>4.94</v>
      </c>
      <c r="BK17" s="747">
        <v>217</v>
      </c>
      <c r="BL17" s="747">
        <v>213</v>
      </c>
      <c r="BM17" s="756">
        <v>0.61</v>
      </c>
      <c r="BN17" s="746">
        <v>21</v>
      </c>
      <c r="BO17" s="747">
        <v>1</v>
      </c>
      <c r="BP17" s="747">
        <v>1</v>
      </c>
      <c r="BQ17" s="756"/>
      <c r="BR17" s="746">
        <v>130</v>
      </c>
      <c r="BS17" s="747">
        <v>57</v>
      </c>
      <c r="BT17" s="747">
        <v>49</v>
      </c>
      <c r="BU17" s="756">
        <v>8</v>
      </c>
      <c r="BV17" s="746"/>
      <c r="BW17" s="747"/>
      <c r="BX17" s="747"/>
      <c r="BY17" s="756"/>
      <c r="BZ17" s="746"/>
      <c r="CA17" s="747"/>
      <c r="CB17" s="747"/>
      <c r="CC17" s="756"/>
      <c r="CD17" s="746"/>
      <c r="CE17" s="747"/>
      <c r="CF17" s="747"/>
      <c r="CG17" s="756"/>
      <c r="CH17" s="747">
        <v>21.97</v>
      </c>
      <c r="CI17" s="747">
        <v>9</v>
      </c>
      <c r="CJ17" s="747">
        <v>9</v>
      </c>
      <c r="CK17" s="756">
        <v>0.41</v>
      </c>
      <c r="CL17" s="746">
        <v>154</v>
      </c>
      <c r="CM17" s="747">
        <v>67</v>
      </c>
      <c r="CN17" s="747">
        <v>68</v>
      </c>
      <c r="CO17" s="756">
        <v>154</v>
      </c>
      <c r="CP17" s="746">
        <v>30793.23</v>
      </c>
      <c r="CQ17" s="747">
        <v>12815</v>
      </c>
      <c r="CR17" s="747">
        <v>10810</v>
      </c>
      <c r="CS17" s="756">
        <v>71.1</v>
      </c>
    </row>
    <row r="18" spans="1:97" ht="16.5">
      <c r="A18" s="1104" t="s">
        <v>265</v>
      </c>
      <c r="B18" s="757"/>
      <c r="C18" s="747"/>
      <c r="D18" s="758"/>
      <c r="E18" s="748"/>
      <c r="F18" s="755"/>
      <c r="G18" s="747"/>
      <c r="H18" s="747"/>
      <c r="I18" s="756"/>
      <c r="J18" s="746"/>
      <c r="K18" s="747"/>
      <c r="L18" s="747"/>
      <c r="M18" s="756"/>
      <c r="N18" s="746">
        <v>42</v>
      </c>
      <c r="O18" s="747">
        <v>15</v>
      </c>
      <c r="P18" s="747">
        <v>14</v>
      </c>
      <c r="Q18" s="778">
        <v>36</v>
      </c>
      <c r="R18" s="755"/>
      <c r="S18" s="747"/>
      <c r="T18" s="747"/>
      <c r="U18" s="756"/>
      <c r="V18" s="746">
        <v>265.2</v>
      </c>
      <c r="W18" s="746">
        <v>9</v>
      </c>
      <c r="X18" s="747">
        <v>9</v>
      </c>
      <c r="Y18" s="756">
        <v>265.2</v>
      </c>
      <c r="Z18" s="746"/>
      <c r="AA18" s="747"/>
      <c r="AB18" s="747"/>
      <c r="AC18" s="756"/>
      <c r="AD18" s="746">
        <v>0.12</v>
      </c>
      <c r="AE18" s="747">
        <v>4</v>
      </c>
      <c r="AF18" s="747">
        <v>4</v>
      </c>
      <c r="AG18" s="756">
        <v>0.12</v>
      </c>
      <c r="AH18" s="746">
        <v>130.86</v>
      </c>
      <c r="AI18" s="747">
        <v>49</v>
      </c>
      <c r="AJ18" s="747">
        <v>48</v>
      </c>
      <c r="AK18" s="756">
        <v>9.22</v>
      </c>
      <c r="AP18" s="746">
        <v>2780.5</v>
      </c>
      <c r="AQ18" s="747">
        <v>819</v>
      </c>
      <c r="AR18" s="747">
        <v>856</v>
      </c>
      <c r="AS18" s="756">
        <v>152.26</v>
      </c>
      <c r="AT18" s="746">
        <v>2367.7</v>
      </c>
      <c r="AU18" s="747">
        <v>731</v>
      </c>
      <c r="AV18" s="747">
        <v>903</v>
      </c>
      <c r="AW18" s="756">
        <v>2177.5</v>
      </c>
      <c r="AX18" s="746"/>
      <c r="AY18" s="747"/>
      <c r="AZ18" s="747"/>
      <c r="BA18" s="756"/>
      <c r="BB18" s="746"/>
      <c r="BC18" s="747"/>
      <c r="BD18" s="747"/>
      <c r="BE18" s="756"/>
      <c r="BF18" s="746">
        <v>422.28</v>
      </c>
      <c r="BG18" s="746">
        <v>146</v>
      </c>
      <c r="BH18" s="747">
        <v>158</v>
      </c>
      <c r="BI18" s="756">
        <v>30</v>
      </c>
      <c r="BJ18" s="746">
        <v>4.31</v>
      </c>
      <c r="BK18" s="747">
        <v>154</v>
      </c>
      <c r="BL18" s="747">
        <v>153</v>
      </c>
      <c r="BM18" s="756">
        <v>0.5</v>
      </c>
      <c r="BN18" s="746">
        <v>26</v>
      </c>
      <c r="BO18" s="747">
        <v>2</v>
      </c>
      <c r="BP18" s="747">
        <v>2</v>
      </c>
      <c r="BQ18" s="756">
        <v>4</v>
      </c>
      <c r="BR18" s="746">
        <v>2132</v>
      </c>
      <c r="BS18" s="747">
        <v>244</v>
      </c>
      <c r="BT18" s="747">
        <v>211</v>
      </c>
      <c r="BU18" s="756">
        <v>129</v>
      </c>
      <c r="BV18" s="746"/>
      <c r="BW18" s="747"/>
      <c r="BX18" s="747"/>
      <c r="BY18" s="756"/>
      <c r="BZ18" s="746"/>
      <c r="CA18" s="747"/>
      <c r="CB18" s="747"/>
      <c r="CC18" s="756"/>
      <c r="CD18" s="746"/>
      <c r="CE18" s="747"/>
      <c r="CF18" s="747"/>
      <c r="CG18" s="756"/>
      <c r="CH18" s="747">
        <v>80.67</v>
      </c>
      <c r="CI18" s="747">
        <v>27</v>
      </c>
      <c r="CJ18" s="747">
        <v>27</v>
      </c>
      <c r="CK18" s="756">
        <v>2.72</v>
      </c>
      <c r="CL18" s="746">
        <v>103</v>
      </c>
      <c r="CM18" s="747">
        <v>35</v>
      </c>
      <c r="CN18" s="747">
        <v>36</v>
      </c>
      <c r="CO18" s="756">
        <v>103</v>
      </c>
      <c r="CP18" s="746">
        <v>49982.71</v>
      </c>
      <c r="CQ18" s="747">
        <v>16823</v>
      </c>
      <c r="CR18" s="747">
        <v>15255</v>
      </c>
      <c r="CS18" s="756">
        <v>40.3</v>
      </c>
    </row>
    <row r="19" spans="1:97" ht="16.5">
      <c r="A19" s="1104" t="s">
        <v>266</v>
      </c>
      <c r="B19" s="757"/>
      <c r="C19" s="747"/>
      <c r="D19" s="758"/>
      <c r="E19" s="748"/>
      <c r="F19" s="755"/>
      <c r="G19" s="747"/>
      <c r="H19" s="747"/>
      <c r="I19" s="756"/>
      <c r="J19" s="746"/>
      <c r="K19" s="747"/>
      <c r="L19" s="747"/>
      <c r="M19" s="756"/>
      <c r="N19" s="746"/>
      <c r="O19" s="747"/>
      <c r="P19" s="747"/>
      <c r="Q19" s="778"/>
      <c r="R19" s="755"/>
      <c r="S19" s="747"/>
      <c r="T19" s="747"/>
      <c r="U19" s="756"/>
      <c r="V19" s="746">
        <v>2898.1</v>
      </c>
      <c r="W19" s="746">
        <v>36</v>
      </c>
      <c r="X19" s="747">
        <v>34</v>
      </c>
      <c r="Y19" s="756">
        <v>2898.1</v>
      </c>
      <c r="Z19" s="746"/>
      <c r="AA19" s="747"/>
      <c r="AB19" s="747"/>
      <c r="AC19" s="756"/>
      <c r="AD19" s="746">
        <v>2.57</v>
      </c>
      <c r="AE19" s="747">
        <v>32</v>
      </c>
      <c r="AF19" s="747">
        <v>30</v>
      </c>
      <c r="AG19" s="756">
        <v>2.57</v>
      </c>
      <c r="AH19" s="746">
        <v>3436.85</v>
      </c>
      <c r="AI19" s="747">
        <v>304</v>
      </c>
      <c r="AJ19" s="747">
        <v>303</v>
      </c>
      <c r="AK19" s="756">
        <v>240.31</v>
      </c>
      <c r="AL19" s="746">
        <v>35</v>
      </c>
      <c r="AM19" s="747">
        <v>5</v>
      </c>
      <c r="AN19" s="747">
        <v>4</v>
      </c>
      <c r="AO19" s="756">
        <v>3</v>
      </c>
      <c r="AP19" s="746">
        <v>82567.91</v>
      </c>
      <c r="AQ19" s="747">
        <v>5331</v>
      </c>
      <c r="AR19" s="747">
        <v>5961</v>
      </c>
      <c r="AS19" s="756">
        <v>4437.89</v>
      </c>
      <c r="AT19" s="746">
        <v>55670</v>
      </c>
      <c r="AU19" s="747">
        <v>4677</v>
      </c>
      <c r="AV19" s="747">
        <v>5813</v>
      </c>
      <c r="AW19" s="756">
        <v>54066</v>
      </c>
      <c r="AX19" s="746"/>
      <c r="AY19" s="747"/>
      <c r="AZ19" s="747"/>
      <c r="BA19" s="756"/>
      <c r="BB19" s="746">
        <v>98.89</v>
      </c>
      <c r="BC19" s="747">
        <v>8</v>
      </c>
      <c r="BD19" s="747">
        <v>8</v>
      </c>
      <c r="BE19" s="756">
        <v>98.89</v>
      </c>
      <c r="BF19" s="746">
        <v>18079.86</v>
      </c>
      <c r="BG19" s="746">
        <v>1052</v>
      </c>
      <c r="BH19" s="747">
        <v>1151</v>
      </c>
      <c r="BI19" s="756">
        <v>1349.86</v>
      </c>
      <c r="BJ19" s="746">
        <v>75.48</v>
      </c>
      <c r="BK19" s="747">
        <v>634</v>
      </c>
      <c r="BL19" s="747">
        <v>624</v>
      </c>
      <c r="BM19" s="756">
        <v>10.37</v>
      </c>
      <c r="BN19" s="746">
        <v>148</v>
      </c>
      <c r="BO19" s="747">
        <v>7</v>
      </c>
      <c r="BP19" s="747">
        <v>7</v>
      </c>
      <c r="BQ19" s="756">
        <v>2</v>
      </c>
      <c r="BR19" s="746"/>
      <c r="BS19" s="747"/>
      <c r="BT19" s="747"/>
      <c r="BU19" s="756"/>
      <c r="BV19" s="746"/>
      <c r="BW19" s="747"/>
      <c r="BX19" s="747"/>
      <c r="BY19" s="756"/>
      <c r="BZ19" s="746"/>
      <c r="CA19" s="747"/>
      <c r="CB19" s="747"/>
      <c r="CC19" s="756"/>
      <c r="CD19" s="746"/>
      <c r="CE19" s="747"/>
      <c r="CF19" s="747"/>
      <c r="CG19" s="756"/>
      <c r="CH19" s="747">
        <v>3159.04</v>
      </c>
      <c r="CI19" s="747">
        <v>263</v>
      </c>
      <c r="CJ19" s="747">
        <v>263</v>
      </c>
      <c r="CK19" s="756">
        <v>78.57</v>
      </c>
      <c r="CL19" s="746">
        <v>23306</v>
      </c>
      <c r="CM19" s="747">
        <v>1069</v>
      </c>
      <c r="CN19" s="747">
        <v>1182</v>
      </c>
      <c r="CO19" s="756">
        <v>23857</v>
      </c>
      <c r="CP19" s="746">
        <v>1101372.95</v>
      </c>
      <c r="CQ19" s="747">
        <v>109233</v>
      </c>
      <c r="CR19" s="747">
        <v>93011</v>
      </c>
      <c r="CS19" s="756">
        <v>746.25</v>
      </c>
    </row>
    <row r="20" spans="1:97" ht="16.5">
      <c r="A20" s="1103" t="s">
        <v>267</v>
      </c>
      <c r="B20" s="746"/>
      <c r="C20" s="747"/>
      <c r="D20" s="747"/>
      <c r="E20" s="748"/>
      <c r="F20" s="755"/>
      <c r="G20" s="747"/>
      <c r="H20" s="747"/>
      <c r="I20" s="756"/>
      <c r="J20" s="746"/>
      <c r="K20" s="747"/>
      <c r="L20" s="747"/>
      <c r="M20" s="756"/>
      <c r="N20" s="746"/>
      <c r="O20" s="747"/>
      <c r="P20" s="747"/>
      <c r="Q20" s="778"/>
      <c r="R20" s="755"/>
      <c r="S20" s="747"/>
      <c r="T20" s="747"/>
      <c r="U20" s="756"/>
      <c r="V20" s="746"/>
      <c r="W20" s="747"/>
      <c r="X20" s="747"/>
      <c r="Y20" s="756"/>
      <c r="Z20" s="746"/>
      <c r="AA20" s="747"/>
      <c r="AB20" s="747"/>
      <c r="AC20" s="756"/>
      <c r="AD20" s="746"/>
      <c r="AE20" s="747"/>
      <c r="AF20" s="747"/>
      <c r="AG20" s="756"/>
      <c r="AH20" s="746"/>
      <c r="AI20" s="747"/>
      <c r="AJ20" s="747"/>
      <c r="AK20" s="756"/>
      <c r="AL20" s="746"/>
      <c r="AM20" s="747"/>
      <c r="AN20" s="747"/>
      <c r="AO20" s="756"/>
      <c r="AP20" s="746"/>
      <c r="AQ20" s="747"/>
      <c r="AR20" s="747"/>
      <c r="AS20" s="756"/>
      <c r="AT20" s="746"/>
      <c r="AU20" s="747"/>
      <c r="AV20" s="747"/>
      <c r="AW20" s="756"/>
      <c r="AX20" s="746"/>
      <c r="AY20" s="747"/>
      <c r="AZ20" s="747"/>
      <c r="BA20" s="756"/>
      <c r="BB20" s="746"/>
      <c r="BC20" s="747"/>
      <c r="BD20" s="747"/>
      <c r="BE20" s="756"/>
      <c r="BF20" s="746"/>
      <c r="BG20" s="747"/>
      <c r="BH20" s="747"/>
      <c r="BI20" s="756"/>
      <c r="BJ20" s="746"/>
      <c r="BK20" s="747"/>
      <c r="BL20" s="747"/>
      <c r="BM20" s="756"/>
      <c r="BN20" s="746"/>
      <c r="BO20" s="747"/>
      <c r="BP20" s="747"/>
      <c r="BQ20" s="756"/>
      <c r="BR20" s="746"/>
      <c r="BS20" s="747"/>
      <c r="BT20" s="747"/>
      <c r="BU20" s="756"/>
      <c r="BV20" s="746"/>
      <c r="BW20" s="747"/>
      <c r="BX20" s="747"/>
      <c r="BY20" s="756"/>
      <c r="BZ20" s="746"/>
      <c r="CA20" s="747"/>
      <c r="CB20" s="747"/>
      <c r="CC20" s="756"/>
      <c r="CD20" s="746"/>
      <c r="CE20" s="747"/>
      <c r="CF20" s="747"/>
      <c r="CG20" s="756"/>
      <c r="CH20" s="746"/>
      <c r="CI20" s="747"/>
      <c r="CJ20" s="747"/>
      <c r="CK20" s="756"/>
      <c r="CL20" s="746"/>
      <c r="CM20" s="747"/>
      <c r="CN20" s="747"/>
      <c r="CO20" s="756"/>
      <c r="CP20" s="746"/>
      <c r="CQ20" s="747"/>
      <c r="CR20" s="747"/>
      <c r="CS20" s="756"/>
    </row>
    <row r="21" spans="1:97" ht="16.5">
      <c r="A21" s="1104" t="s">
        <v>252</v>
      </c>
      <c r="B21" s="753">
        <v>-5.83</v>
      </c>
      <c r="C21" s="747">
        <v>52</v>
      </c>
      <c r="D21" s="754">
        <v>18927</v>
      </c>
      <c r="E21" s="748">
        <v>316.49</v>
      </c>
      <c r="F21" s="755"/>
      <c r="G21" s="747"/>
      <c r="H21" s="747"/>
      <c r="I21" s="756"/>
      <c r="J21" s="746"/>
      <c r="K21" s="747"/>
      <c r="L21" s="747">
        <v>9</v>
      </c>
      <c r="M21" s="756">
        <v>-4446</v>
      </c>
      <c r="N21" s="746">
        <v>154979</v>
      </c>
      <c r="O21" s="747">
        <v>72</v>
      </c>
      <c r="P21" s="747">
        <v>23192111</v>
      </c>
      <c r="Q21" s="778">
        <v>15157730</v>
      </c>
      <c r="R21" s="755">
        <v>108.77</v>
      </c>
      <c r="S21" s="747">
        <v>6</v>
      </c>
      <c r="T21" s="747">
        <v>80468</v>
      </c>
      <c r="U21" s="756">
        <v>7429.69</v>
      </c>
      <c r="V21" s="746">
        <v>9114.9</v>
      </c>
      <c r="W21" s="747"/>
      <c r="X21" s="747">
        <v>3045171</v>
      </c>
      <c r="Y21" s="756">
        <v>6351468.5</v>
      </c>
      <c r="Z21" s="746">
        <v>-80.93</v>
      </c>
      <c r="AA21" s="747">
        <v>158</v>
      </c>
      <c r="AB21" s="747">
        <v>227201</v>
      </c>
      <c r="AC21" s="756">
        <v>-119899.46</v>
      </c>
      <c r="AD21" s="746">
        <v>5.06</v>
      </c>
      <c r="AE21" s="747">
        <v>3</v>
      </c>
      <c r="AF21" s="747">
        <v>101293</v>
      </c>
      <c r="AG21" s="756">
        <v>525.15</v>
      </c>
      <c r="AH21" s="746"/>
      <c r="AI21" s="747"/>
      <c r="AJ21" s="747"/>
      <c r="AK21" s="756"/>
      <c r="AL21" s="746"/>
      <c r="AM21" s="747"/>
      <c r="AN21" s="747">
        <v>5</v>
      </c>
      <c r="AO21" s="756">
        <v>25</v>
      </c>
      <c r="AP21" s="746"/>
      <c r="AQ21" s="747"/>
      <c r="AR21" s="747"/>
      <c r="AS21" s="756"/>
      <c r="AT21" s="746">
        <v>1.5</v>
      </c>
      <c r="AU21" s="747">
        <v>285</v>
      </c>
      <c r="AV21" s="747">
        <v>1827</v>
      </c>
      <c r="AW21" s="756">
        <v>2602.9</v>
      </c>
      <c r="AX21" s="746">
        <v>-0.01</v>
      </c>
      <c r="AY21" s="747"/>
      <c r="AZ21" s="747">
        <v>-1</v>
      </c>
      <c r="BA21" s="756">
        <v>-0.53</v>
      </c>
      <c r="BB21" s="746">
        <v>-248.24</v>
      </c>
      <c r="BC21" s="747">
        <v>2</v>
      </c>
      <c r="BD21" s="747">
        <v>-64412</v>
      </c>
      <c r="BE21" s="756">
        <v>-527228.79</v>
      </c>
      <c r="BF21" s="746">
        <v>-79.41</v>
      </c>
      <c r="BG21" s="747">
        <v>95</v>
      </c>
      <c r="BH21" s="747">
        <v>-32944</v>
      </c>
      <c r="BI21" s="756">
        <v>-69327.31</v>
      </c>
      <c r="BJ21" s="746"/>
      <c r="BK21" s="747"/>
      <c r="BL21" s="747"/>
      <c r="BM21" s="756"/>
      <c r="BN21" s="746"/>
      <c r="BO21" s="747"/>
      <c r="BP21" s="747"/>
      <c r="BQ21" s="756"/>
      <c r="BR21" s="746">
        <v>-243</v>
      </c>
      <c r="BS21" s="747"/>
      <c r="BT21" s="747">
        <v>-258120</v>
      </c>
      <c r="BU21" s="756">
        <v>-207248</v>
      </c>
      <c r="BV21" s="746"/>
      <c r="BW21" s="747"/>
      <c r="BX21" s="747"/>
      <c r="BY21" s="756"/>
      <c r="BZ21" s="746">
        <v>16</v>
      </c>
      <c r="CA21" s="747"/>
      <c r="CB21" s="747">
        <v>58620</v>
      </c>
      <c r="CC21" s="756">
        <v>1926</v>
      </c>
      <c r="CD21" s="746">
        <v>6</v>
      </c>
      <c r="CE21" s="747">
        <v>1</v>
      </c>
      <c r="CF21" s="747">
        <v>2146</v>
      </c>
      <c r="CG21" s="756">
        <v>777</v>
      </c>
      <c r="CH21" s="746">
        <v>-0.36</v>
      </c>
      <c r="CI21" s="747"/>
      <c r="CJ21" s="747">
        <v>-6</v>
      </c>
      <c r="CK21" s="756">
        <v>-25.87</v>
      </c>
      <c r="CL21" s="746">
        <v>564</v>
      </c>
      <c r="CM21" s="747"/>
      <c r="CN21" s="747">
        <v>30176</v>
      </c>
      <c r="CO21" s="756">
        <v>119280</v>
      </c>
      <c r="CP21" s="746">
        <v>70.31</v>
      </c>
      <c r="CQ21" s="747">
        <v>862</v>
      </c>
      <c r="CR21" s="747">
        <v>173644</v>
      </c>
      <c r="CS21" s="756">
        <v>98696.79</v>
      </c>
    </row>
    <row r="22" spans="1:97" ht="16.5">
      <c r="A22" s="1104" t="s">
        <v>253</v>
      </c>
      <c r="B22" s="757">
        <v>1.92</v>
      </c>
      <c r="C22" s="747">
        <v>10</v>
      </c>
      <c r="D22" s="758">
        <v>33719</v>
      </c>
      <c r="E22" s="748">
        <v>571.12</v>
      </c>
      <c r="F22" s="755"/>
      <c r="G22" s="747"/>
      <c r="H22" s="747"/>
      <c r="I22" s="756"/>
      <c r="J22" s="746"/>
      <c r="K22" s="747"/>
      <c r="L22" s="747">
        <v>2</v>
      </c>
      <c r="M22" s="756">
        <v>22</v>
      </c>
      <c r="N22" s="746">
        <v>51023</v>
      </c>
      <c r="O22" s="747">
        <v>3</v>
      </c>
      <c r="P22" s="747">
        <v>119513</v>
      </c>
      <c r="Q22" s="778">
        <v>1301273</v>
      </c>
      <c r="R22" s="755">
        <v>37.68</v>
      </c>
      <c r="S22" s="747"/>
      <c r="T22" s="747">
        <v>2683</v>
      </c>
      <c r="U22" s="756">
        <v>1798.37</v>
      </c>
      <c r="V22" s="746">
        <v>652.4</v>
      </c>
      <c r="W22" s="747"/>
      <c r="X22" s="747">
        <v>308</v>
      </c>
      <c r="Y22" s="756">
        <v>17395.2</v>
      </c>
      <c r="Z22" s="746">
        <v>267.05</v>
      </c>
      <c r="AA22" s="747">
        <v>75</v>
      </c>
      <c r="AB22" s="747">
        <v>297499</v>
      </c>
      <c r="AC22" s="756">
        <v>131670.49</v>
      </c>
      <c r="AD22" s="746">
        <v>3.24</v>
      </c>
      <c r="AE22" s="747"/>
      <c r="AF22" s="747">
        <v>2031</v>
      </c>
      <c r="AG22" s="756">
        <v>235.09</v>
      </c>
      <c r="AH22" s="746"/>
      <c r="AI22" s="747"/>
      <c r="AJ22" s="747"/>
      <c r="AK22" s="756"/>
      <c r="AL22" s="746"/>
      <c r="AM22" s="747"/>
      <c r="AN22" s="747"/>
      <c r="AO22" s="756"/>
      <c r="AP22" s="746"/>
      <c r="AQ22" s="747"/>
      <c r="AR22" s="747"/>
      <c r="AS22" s="756"/>
      <c r="AT22" s="746">
        <v>20.2</v>
      </c>
      <c r="AU22" s="747">
        <v>128</v>
      </c>
      <c r="AV22" s="747">
        <v>5816</v>
      </c>
      <c r="AW22" s="756">
        <v>15297.1</v>
      </c>
      <c r="AX22" s="746"/>
      <c r="AY22" s="747"/>
      <c r="AZ22" s="747"/>
      <c r="BA22" s="756"/>
      <c r="BB22" s="746">
        <v>7.84</v>
      </c>
      <c r="BC22" s="747"/>
      <c r="BD22" s="747">
        <v>4057</v>
      </c>
      <c r="BE22" s="756">
        <v>16240.14</v>
      </c>
      <c r="BF22" s="746">
        <v>48.25</v>
      </c>
      <c r="BG22" s="747">
        <v>13</v>
      </c>
      <c r="BH22" s="747">
        <v>7948</v>
      </c>
      <c r="BI22" s="756">
        <v>4301.84</v>
      </c>
      <c r="BJ22" s="746"/>
      <c r="BK22" s="747"/>
      <c r="BL22" s="747"/>
      <c r="BM22" s="756"/>
      <c r="BN22" s="746"/>
      <c r="BO22" s="747"/>
      <c r="BP22" s="747"/>
      <c r="BQ22" s="756"/>
      <c r="BR22" s="746">
        <v>2</v>
      </c>
      <c r="BS22" s="747">
        <v>1</v>
      </c>
      <c r="BT22" s="747">
        <v>892</v>
      </c>
      <c r="BU22" s="756">
        <v>2562</v>
      </c>
      <c r="BV22" s="746"/>
      <c r="BW22" s="747"/>
      <c r="BX22" s="747"/>
      <c r="BY22" s="756"/>
      <c r="BZ22" s="746">
        <v>52</v>
      </c>
      <c r="CA22" s="747"/>
      <c r="CB22" s="747">
        <v>30242</v>
      </c>
      <c r="CC22" s="756">
        <v>3583</v>
      </c>
      <c r="CD22" s="746">
        <v>14</v>
      </c>
      <c r="CE22" s="747">
        <v>1</v>
      </c>
      <c r="CF22" s="747">
        <v>1309</v>
      </c>
      <c r="CG22" s="756">
        <v>1483</v>
      </c>
      <c r="CH22" s="746">
        <v>-0.36</v>
      </c>
      <c r="CI22" s="747"/>
      <c r="CJ22" s="747">
        <v>-2</v>
      </c>
      <c r="CK22" s="756">
        <v>-22.2</v>
      </c>
      <c r="CL22" s="746">
        <v>429</v>
      </c>
      <c r="CM22" s="747"/>
      <c r="CN22" s="747">
        <v>2816</v>
      </c>
      <c r="CO22" s="756">
        <v>38863</v>
      </c>
      <c r="CP22" s="746">
        <v>242.32</v>
      </c>
      <c r="CQ22" s="747"/>
      <c r="CR22" s="747"/>
      <c r="CS22" s="756"/>
    </row>
    <row r="23" spans="1:97" ht="16.5">
      <c r="A23" s="1104" t="s">
        <v>254</v>
      </c>
      <c r="B23" s="753">
        <v>3.77</v>
      </c>
      <c r="C23" s="747">
        <v>10</v>
      </c>
      <c r="D23" s="754">
        <v>26948</v>
      </c>
      <c r="E23" s="748">
        <v>465.98</v>
      </c>
      <c r="F23" s="755"/>
      <c r="G23" s="747"/>
      <c r="H23" s="747"/>
      <c r="I23" s="756"/>
      <c r="J23" s="746">
        <v>4</v>
      </c>
      <c r="K23" s="747"/>
      <c r="L23" s="747">
        <v>30</v>
      </c>
      <c r="M23" s="756">
        <v>234</v>
      </c>
      <c r="N23" s="746">
        <v>23116</v>
      </c>
      <c r="O23" s="747">
        <v>3</v>
      </c>
      <c r="P23" s="747">
        <v>68087</v>
      </c>
      <c r="Q23" s="778">
        <v>662518</v>
      </c>
      <c r="R23" s="755">
        <v>7.17</v>
      </c>
      <c r="S23" s="747"/>
      <c r="T23" s="747">
        <v>219</v>
      </c>
      <c r="U23" s="756">
        <v>290.73</v>
      </c>
      <c r="V23" s="746">
        <v>644.5</v>
      </c>
      <c r="W23" s="747"/>
      <c r="X23" s="747">
        <v>28</v>
      </c>
      <c r="Y23" s="756">
        <v>2584.4</v>
      </c>
      <c r="Z23" s="746">
        <v>348.22</v>
      </c>
      <c r="AA23" s="747">
        <v>39</v>
      </c>
      <c r="AB23" s="737">
        <v>257499</v>
      </c>
      <c r="AC23" s="756">
        <v>153189.61</v>
      </c>
      <c r="AD23" s="746">
        <v>3.16</v>
      </c>
      <c r="AE23" s="747"/>
      <c r="AF23" s="747">
        <v>929</v>
      </c>
      <c r="AG23" s="756">
        <v>136.54</v>
      </c>
      <c r="AH23" s="746"/>
      <c r="AI23" s="747"/>
      <c r="AJ23" s="747"/>
      <c r="AK23" s="756"/>
      <c r="AL23" s="746">
        <v>2</v>
      </c>
      <c r="AM23" s="747"/>
      <c r="AN23" s="747">
        <v>53</v>
      </c>
      <c r="AO23" s="756">
        <v>193</v>
      </c>
      <c r="AP23" s="746"/>
      <c r="AQ23" s="747"/>
      <c r="AR23" s="747"/>
      <c r="AS23" s="756"/>
      <c r="AT23" s="746">
        <v>66.2</v>
      </c>
      <c r="AU23" s="747">
        <v>188</v>
      </c>
      <c r="AV23" s="747">
        <v>7721</v>
      </c>
      <c r="AW23" s="756">
        <v>70768.9</v>
      </c>
      <c r="AX23" s="746"/>
      <c r="AY23" s="747"/>
      <c r="AZ23" s="747"/>
      <c r="BA23" s="756"/>
      <c r="BB23" s="746">
        <v>16.78</v>
      </c>
      <c r="BC23" s="747">
        <v>7</v>
      </c>
      <c r="BD23" s="747">
        <v>12593</v>
      </c>
      <c r="BE23" s="756">
        <v>34533.23</v>
      </c>
      <c r="BF23" s="746">
        <v>87.43</v>
      </c>
      <c r="BG23" s="747">
        <v>15</v>
      </c>
      <c r="BH23" s="747">
        <v>14529</v>
      </c>
      <c r="BI23" s="756">
        <v>9118.82</v>
      </c>
      <c r="BJ23" s="746"/>
      <c r="BK23" s="747"/>
      <c r="BL23" s="747"/>
      <c r="BM23" s="756"/>
      <c r="BN23" s="746"/>
      <c r="BO23" s="747"/>
      <c r="BP23" s="747"/>
      <c r="BQ23" s="756"/>
      <c r="BR23" s="746">
        <v>3</v>
      </c>
      <c r="BS23" s="747">
        <v>1</v>
      </c>
      <c r="BT23" s="747">
        <v>254</v>
      </c>
      <c r="BU23" s="756">
        <v>2099</v>
      </c>
      <c r="BV23" s="746"/>
      <c r="BW23" s="747"/>
      <c r="BX23" s="747"/>
      <c r="BY23" s="756"/>
      <c r="BZ23" s="746">
        <v>145</v>
      </c>
      <c r="CA23" s="747">
        <v>1</v>
      </c>
      <c r="CB23" s="747">
        <v>42242</v>
      </c>
      <c r="CC23" s="756">
        <v>7938</v>
      </c>
      <c r="CD23" s="746">
        <v>24</v>
      </c>
      <c r="CE23" s="747"/>
      <c r="CF23" s="747">
        <v>1102</v>
      </c>
      <c r="CG23" s="756">
        <v>2138</v>
      </c>
      <c r="CH23" s="746">
        <v>-1.71</v>
      </c>
      <c r="CI23" s="747"/>
      <c r="CJ23" s="747">
        <v>-5</v>
      </c>
      <c r="CK23" s="756">
        <v>-87.5</v>
      </c>
      <c r="CL23" s="746">
        <v>483</v>
      </c>
      <c r="CM23" s="747"/>
      <c r="CN23" s="747">
        <v>1520</v>
      </c>
      <c r="CO23" s="756">
        <v>29787</v>
      </c>
      <c r="CP23" s="746">
        <v>677.74</v>
      </c>
      <c r="CQ23" s="747"/>
      <c r="CR23" s="747"/>
      <c r="CS23" s="756"/>
    </row>
    <row r="24" spans="1:97" ht="16.5">
      <c r="A24" s="1104" t="s">
        <v>255</v>
      </c>
      <c r="B24" s="757">
        <v>3.75</v>
      </c>
      <c r="C24" s="747">
        <v>6</v>
      </c>
      <c r="D24" s="758">
        <v>63078</v>
      </c>
      <c r="E24" s="748">
        <v>1034.75</v>
      </c>
      <c r="F24" s="755"/>
      <c r="G24" s="747"/>
      <c r="H24" s="747"/>
      <c r="I24" s="756"/>
      <c r="J24" s="746"/>
      <c r="K24" s="747"/>
      <c r="L24" s="747"/>
      <c r="M24" s="756"/>
      <c r="N24" s="746"/>
      <c r="O24" s="747"/>
      <c r="P24" s="747"/>
      <c r="Q24" s="778"/>
      <c r="R24" s="755">
        <v>0.68</v>
      </c>
      <c r="S24" s="747"/>
      <c r="T24" s="747">
        <v>11</v>
      </c>
      <c r="U24" s="756">
        <v>25.82</v>
      </c>
      <c r="V24" s="746">
        <v>374.7</v>
      </c>
      <c r="W24" s="747">
        <v>15</v>
      </c>
      <c r="X24" s="747">
        <v>1</v>
      </c>
      <c r="Y24" s="756">
        <v>183.8</v>
      </c>
      <c r="Z24" s="746">
        <v>350.94</v>
      </c>
      <c r="AA24" s="747">
        <v>19</v>
      </c>
      <c r="AB24" s="747">
        <v>272863</v>
      </c>
      <c r="AC24" s="756">
        <v>150002.95</v>
      </c>
      <c r="AD24" s="746">
        <v>1.49</v>
      </c>
      <c r="AE24" s="747"/>
      <c r="AF24" s="747">
        <v>252</v>
      </c>
      <c r="AG24" s="756">
        <v>50.17</v>
      </c>
      <c r="AH24" s="746"/>
      <c r="AI24" s="747"/>
      <c r="AJ24" s="747"/>
      <c r="AK24" s="756"/>
      <c r="AL24" s="746">
        <v>1</v>
      </c>
      <c r="AM24" s="747"/>
      <c r="AN24" s="747"/>
      <c r="AO24" s="756">
        <v>48</v>
      </c>
      <c r="AP24" s="746"/>
      <c r="AQ24" s="747"/>
      <c r="AR24" s="747"/>
      <c r="AS24" s="756"/>
      <c r="AT24" s="746">
        <v>78.6</v>
      </c>
      <c r="AU24" s="747">
        <v>140</v>
      </c>
      <c r="AV24" s="747">
        <v>8854</v>
      </c>
      <c r="AW24" s="756">
        <v>93732.9</v>
      </c>
      <c r="AX24" s="746">
        <v>0.01</v>
      </c>
      <c r="AY24" s="747">
        <v>1</v>
      </c>
      <c r="AZ24" s="747">
        <v>82</v>
      </c>
      <c r="BA24" s="756">
        <v>0.01</v>
      </c>
      <c r="BB24" s="746">
        <v>9.71</v>
      </c>
      <c r="BC24" s="747">
        <v>1</v>
      </c>
      <c r="BD24" s="747">
        <v>7358</v>
      </c>
      <c r="BE24" s="756">
        <v>19113.34</v>
      </c>
      <c r="BF24" s="746">
        <v>74.73</v>
      </c>
      <c r="BG24" s="747">
        <v>6</v>
      </c>
      <c r="BH24" s="747">
        <v>16096</v>
      </c>
      <c r="BI24" s="756">
        <v>817.5</v>
      </c>
      <c r="BJ24" s="746"/>
      <c r="BK24" s="747"/>
      <c r="BL24" s="747"/>
      <c r="BM24" s="756"/>
      <c r="BN24" s="746"/>
      <c r="BO24" s="747"/>
      <c r="BP24" s="747"/>
      <c r="BQ24" s="756"/>
      <c r="BR24" s="746">
        <v>2</v>
      </c>
      <c r="BS24" s="747"/>
      <c r="BT24" s="747">
        <v>2636</v>
      </c>
      <c r="BU24" s="756">
        <v>2048</v>
      </c>
      <c r="BV24" s="746"/>
      <c r="BW24" s="747"/>
      <c r="BX24" s="747"/>
      <c r="BY24" s="756"/>
      <c r="BZ24" s="746">
        <v>144</v>
      </c>
      <c r="CA24" s="747"/>
      <c r="CB24" s="747">
        <v>24691</v>
      </c>
      <c r="CC24" s="756">
        <v>6360</v>
      </c>
      <c r="CD24" s="746">
        <v>30</v>
      </c>
      <c r="CE24" s="747">
        <v>1</v>
      </c>
      <c r="CF24" s="747">
        <v>2276</v>
      </c>
      <c r="CG24" s="756">
        <v>2922</v>
      </c>
      <c r="CH24" s="746">
        <v>-2.45</v>
      </c>
      <c r="CI24" s="747"/>
      <c r="CJ24" s="747">
        <v>-13</v>
      </c>
      <c r="CK24" s="756">
        <v>-149.57</v>
      </c>
      <c r="CL24" s="746">
        <v>326</v>
      </c>
      <c r="CM24" s="747"/>
      <c r="CN24" s="747">
        <v>626</v>
      </c>
      <c r="CO24" s="756">
        <v>16555</v>
      </c>
      <c r="CP24" s="746">
        <v>647.1</v>
      </c>
      <c r="CQ24" s="747"/>
      <c r="CR24" s="747"/>
      <c r="CS24" s="756"/>
    </row>
    <row r="25" spans="1:97" ht="16.5">
      <c r="A25" s="1104" t="s">
        <v>256</v>
      </c>
      <c r="B25" s="757">
        <v>9.09</v>
      </c>
      <c r="C25" s="747">
        <v>10</v>
      </c>
      <c r="D25" s="758">
        <v>28</v>
      </c>
      <c r="E25" s="748">
        <v>140.3</v>
      </c>
      <c r="F25" s="755"/>
      <c r="G25" s="747"/>
      <c r="H25" s="747"/>
      <c r="I25" s="756"/>
      <c r="J25" s="746">
        <v>1</v>
      </c>
      <c r="K25" s="747"/>
      <c r="L25" s="747">
        <v>5</v>
      </c>
      <c r="M25" s="756">
        <v>58</v>
      </c>
      <c r="N25" s="746"/>
      <c r="O25" s="747"/>
      <c r="P25" s="747"/>
      <c r="Q25" s="778"/>
      <c r="R25" s="755">
        <v>0.59</v>
      </c>
      <c r="S25" s="747"/>
      <c r="T25" s="747">
        <v>7</v>
      </c>
      <c r="U25" s="756">
        <v>28.78</v>
      </c>
      <c r="V25" s="746">
        <v>191.4</v>
      </c>
      <c r="W25" s="747"/>
      <c r="X25" s="747"/>
      <c r="Y25" s="756"/>
      <c r="Z25" s="746">
        <v>397.14</v>
      </c>
      <c r="AA25" s="747">
        <v>15</v>
      </c>
      <c r="AB25" s="747">
        <v>357084</v>
      </c>
      <c r="AC25" s="756">
        <v>96452.51</v>
      </c>
      <c r="AD25" s="746">
        <v>0.48</v>
      </c>
      <c r="AE25" s="747"/>
      <c r="AF25" s="747">
        <v>58</v>
      </c>
      <c r="AG25" s="756">
        <v>13.81</v>
      </c>
      <c r="AH25" s="746"/>
      <c r="AI25" s="747"/>
      <c r="AJ25" s="747"/>
      <c r="AK25" s="756"/>
      <c r="AL25" s="746">
        <v>1</v>
      </c>
      <c r="AM25" s="747">
        <v>1</v>
      </c>
      <c r="AN25" s="747">
        <v>111</v>
      </c>
      <c r="AO25" s="756">
        <v>148</v>
      </c>
      <c r="AP25" s="746"/>
      <c r="AQ25" s="747"/>
      <c r="AR25" s="747"/>
      <c r="AS25" s="756"/>
      <c r="AT25" s="746">
        <v>97.8</v>
      </c>
      <c r="AU25" s="747">
        <v>123</v>
      </c>
      <c r="AV25" s="747">
        <v>12830</v>
      </c>
      <c r="AW25" s="756">
        <v>123038.7</v>
      </c>
      <c r="AX25" s="746">
        <v>0.02</v>
      </c>
      <c r="AY25" s="747"/>
      <c r="AZ25" s="747"/>
      <c r="BA25" s="756"/>
      <c r="BB25" s="746">
        <v>13.16</v>
      </c>
      <c r="BC25" s="747">
        <v>1</v>
      </c>
      <c r="BD25" s="747">
        <v>15024</v>
      </c>
      <c r="BE25" s="756">
        <v>11575.38</v>
      </c>
      <c r="BF25" s="746">
        <v>90.25</v>
      </c>
      <c r="BG25" s="747">
        <v>3</v>
      </c>
      <c r="BH25" s="747">
        <v>12321</v>
      </c>
      <c r="BI25" s="756">
        <v>8058</v>
      </c>
      <c r="BJ25" s="746"/>
      <c r="BK25" s="747"/>
      <c r="BL25" s="747"/>
      <c r="BM25" s="756"/>
      <c r="BN25" s="746"/>
      <c r="BO25" s="747"/>
      <c r="BP25" s="747"/>
      <c r="BQ25" s="756"/>
      <c r="BR25" s="746">
        <v>4</v>
      </c>
      <c r="BS25" s="747">
        <v>2</v>
      </c>
      <c r="BT25" s="747">
        <v>423</v>
      </c>
      <c r="BU25" s="756">
        <v>4606</v>
      </c>
      <c r="BV25" s="746"/>
      <c r="BW25" s="747"/>
      <c r="BX25" s="747"/>
      <c r="BY25" s="756"/>
      <c r="BZ25" s="746">
        <v>123</v>
      </c>
      <c r="CA25" s="747">
        <v>2</v>
      </c>
      <c r="CB25" s="747">
        <v>15082</v>
      </c>
      <c r="CC25" s="756">
        <v>4373</v>
      </c>
      <c r="CD25" s="746">
        <v>25</v>
      </c>
      <c r="CE25" s="747"/>
      <c r="CF25" s="747">
        <v>1386</v>
      </c>
      <c r="CG25" s="756">
        <v>2148</v>
      </c>
      <c r="CH25" s="746">
        <v>-1.79</v>
      </c>
      <c r="CI25" s="747"/>
      <c r="CJ25" s="747">
        <v>-3</v>
      </c>
      <c r="CK25" s="756">
        <v>-43.5</v>
      </c>
      <c r="CL25" s="746">
        <v>184</v>
      </c>
      <c r="CM25" s="747"/>
      <c r="CN25" s="747">
        <v>255</v>
      </c>
      <c r="CO25" s="756">
        <v>8954</v>
      </c>
      <c r="CP25" s="746">
        <v>1219.08</v>
      </c>
      <c r="CQ25" s="747"/>
      <c r="CR25" s="747"/>
      <c r="CS25" s="756"/>
    </row>
    <row r="26" spans="1:97" ht="16.5">
      <c r="A26" s="1104" t="s">
        <v>257</v>
      </c>
      <c r="B26" s="757">
        <v>11.33</v>
      </c>
      <c r="C26" s="747">
        <v>10</v>
      </c>
      <c r="D26" s="758">
        <v>82</v>
      </c>
      <c r="E26" s="748">
        <v>378.28</v>
      </c>
      <c r="F26" s="755"/>
      <c r="G26" s="747"/>
      <c r="H26" s="747"/>
      <c r="I26" s="756"/>
      <c r="J26" s="746">
        <v>3</v>
      </c>
      <c r="K26" s="747"/>
      <c r="L26" s="747">
        <v>47</v>
      </c>
      <c r="M26" s="756">
        <v>126</v>
      </c>
      <c r="N26" s="746"/>
      <c r="O26" s="747"/>
      <c r="P26" s="747"/>
      <c r="Q26" s="778"/>
      <c r="R26" s="755">
        <v>0.1</v>
      </c>
      <c r="S26" s="747"/>
      <c r="T26" s="747">
        <v>1</v>
      </c>
      <c r="U26" s="756">
        <v>1.5</v>
      </c>
      <c r="V26" s="746">
        <v>119.9</v>
      </c>
      <c r="W26" s="747"/>
      <c r="X26" s="747"/>
      <c r="Y26" s="756"/>
      <c r="Z26" s="746">
        <v>391.35</v>
      </c>
      <c r="AA26" s="747">
        <v>21</v>
      </c>
      <c r="AB26" s="747">
        <v>288684</v>
      </c>
      <c r="AC26" s="756">
        <v>103272.41</v>
      </c>
      <c r="AD26" s="746">
        <v>0.16</v>
      </c>
      <c r="AE26" s="747"/>
      <c r="AF26" s="747">
        <v>15</v>
      </c>
      <c r="AG26" s="756">
        <v>8.36</v>
      </c>
      <c r="AH26" s="746"/>
      <c r="AI26" s="747"/>
      <c r="AJ26" s="747"/>
      <c r="AK26" s="756"/>
      <c r="AL26" s="746"/>
      <c r="AM26" s="747"/>
      <c r="AN26" s="747"/>
      <c r="AO26" s="756"/>
      <c r="AP26" s="746"/>
      <c r="AQ26" s="747"/>
      <c r="AR26" s="747"/>
      <c r="AS26" s="756"/>
      <c r="AT26" s="746">
        <v>83.5</v>
      </c>
      <c r="AU26" s="747">
        <v>71</v>
      </c>
      <c r="AV26" s="747">
        <v>8587</v>
      </c>
      <c r="AW26" s="756">
        <v>106153</v>
      </c>
      <c r="AX26" s="746"/>
      <c r="AY26" s="747"/>
      <c r="AZ26" s="747"/>
      <c r="BA26" s="756"/>
      <c r="BB26" s="746">
        <v>12.03</v>
      </c>
      <c r="BC26" s="747"/>
      <c r="BD26" s="747">
        <v>36526</v>
      </c>
      <c r="BE26" s="756">
        <v>10407.64</v>
      </c>
      <c r="BF26" s="746">
        <v>66.65</v>
      </c>
      <c r="BG26" s="747">
        <v>2</v>
      </c>
      <c r="BH26" s="747">
        <v>10217</v>
      </c>
      <c r="BI26" s="756">
        <v>5733</v>
      </c>
      <c r="BJ26" s="746"/>
      <c r="BK26" s="747"/>
      <c r="BL26" s="747"/>
      <c r="BM26" s="756"/>
      <c r="BN26" s="746"/>
      <c r="BO26" s="747"/>
      <c r="BP26" s="747"/>
      <c r="BQ26" s="756"/>
      <c r="BR26" s="746">
        <v>2</v>
      </c>
      <c r="BS26" s="747"/>
      <c r="BT26" s="747">
        <v>392</v>
      </c>
      <c r="BU26" s="756">
        <v>1921</v>
      </c>
      <c r="BV26" s="746"/>
      <c r="BW26" s="747"/>
      <c r="BX26" s="747"/>
      <c r="BY26" s="756"/>
      <c r="BZ26" s="746">
        <v>100</v>
      </c>
      <c r="CA26" s="747"/>
      <c r="CB26" s="747">
        <v>9677</v>
      </c>
      <c r="CC26" s="756">
        <v>3071</v>
      </c>
      <c r="CD26" s="746">
        <v>24</v>
      </c>
      <c r="CE26" s="747">
        <v>1</v>
      </c>
      <c r="CF26" s="747">
        <v>1389</v>
      </c>
      <c r="CG26" s="756">
        <v>1780</v>
      </c>
      <c r="CH26" s="746">
        <v>-2.31</v>
      </c>
      <c r="CI26" s="747"/>
      <c r="CJ26" s="747">
        <v>-6</v>
      </c>
      <c r="CK26" s="756">
        <v>-62.98</v>
      </c>
      <c r="CL26" s="746">
        <v>281</v>
      </c>
      <c r="CM26" s="747"/>
      <c r="CN26" s="747">
        <v>346</v>
      </c>
      <c r="CO26" s="756">
        <v>14597</v>
      </c>
      <c r="CP26" s="746">
        <v>790.44</v>
      </c>
      <c r="CQ26" s="747"/>
      <c r="CR26" s="747"/>
      <c r="CS26" s="756"/>
    </row>
    <row r="27" spans="1:97" ht="16.5">
      <c r="A27" s="1104" t="s">
        <v>258</v>
      </c>
      <c r="B27" s="757"/>
      <c r="C27" s="747">
        <v>403</v>
      </c>
      <c r="D27" s="758"/>
      <c r="E27" s="748">
        <v>70700.71</v>
      </c>
      <c r="F27" s="755">
        <v>108</v>
      </c>
      <c r="G27" s="747"/>
      <c r="H27" s="747"/>
      <c r="I27" s="756"/>
      <c r="J27" s="746">
        <v>188</v>
      </c>
      <c r="K27" s="747"/>
      <c r="L27" s="747">
        <v>2490</v>
      </c>
      <c r="M27" s="756">
        <v>7116</v>
      </c>
      <c r="N27" s="746"/>
      <c r="O27" s="747"/>
      <c r="P27" s="747"/>
      <c r="Q27" s="778"/>
      <c r="R27" s="755">
        <v>0.14</v>
      </c>
      <c r="S27" s="747"/>
      <c r="T27" s="747">
        <v>1</v>
      </c>
      <c r="U27" s="756">
        <v>3.38</v>
      </c>
      <c r="V27" s="746">
        <v>29113.5</v>
      </c>
      <c r="W27" s="747"/>
      <c r="X27" s="747">
        <v>1</v>
      </c>
      <c r="Y27" s="756">
        <v>519</v>
      </c>
      <c r="Z27" s="746">
        <v>28582.17</v>
      </c>
      <c r="AA27" s="747">
        <v>140</v>
      </c>
      <c r="AB27" s="747">
        <v>6383052</v>
      </c>
      <c r="AC27" s="756">
        <v>3427002.79</v>
      </c>
      <c r="AD27" s="746">
        <v>0.47</v>
      </c>
      <c r="AE27" s="747"/>
      <c r="AF27" s="747">
        <v>19</v>
      </c>
      <c r="AG27" s="756">
        <v>19.98</v>
      </c>
      <c r="AH27" s="746">
        <v>30.85</v>
      </c>
      <c r="AI27" s="747"/>
      <c r="AJ27" s="747">
        <v>1182</v>
      </c>
      <c r="AK27" s="756">
        <v>2423.79</v>
      </c>
      <c r="AL27" s="746">
        <v>5280</v>
      </c>
      <c r="AM27" s="747">
        <v>2</v>
      </c>
      <c r="AN27" s="747">
        <v>46407</v>
      </c>
      <c r="AO27" s="756">
        <v>458135</v>
      </c>
      <c r="AP27" s="746"/>
      <c r="AQ27" s="747"/>
      <c r="AR27" s="747"/>
      <c r="AS27" s="756"/>
      <c r="AT27" s="746">
        <v>166792.9</v>
      </c>
      <c r="AU27" s="747">
        <v>1143</v>
      </c>
      <c r="AV27" s="747">
        <v>21007285</v>
      </c>
      <c r="AW27" s="756">
        <v>30881590.2</v>
      </c>
      <c r="AX27" s="746">
        <v>99.3</v>
      </c>
      <c r="AY27" s="747">
        <v>1</v>
      </c>
      <c r="AZ27" s="747">
        <v>12749</v>
      </c>
      <c r="BA27" s="756">
        <v>4401.18</v>
      </c>
      <c r="BB27" s="746">
        <v>71439.31</v>
      </c>
      <c r="BC27" s="747">
        <v>102</v>
      </c>
      <c r="BD27" s="747">
        <v>3117836</v>
      </c>
      <c r="BE27" s="756">
        <v>9812691.76</v>
      </c>
      <c r="BF27" s="746">
        <v>83301.47</v>
      </c>
      <c r="BG27" s="747">
        <v>31</v>
      </c>
      <c r="BH27" s="747">
        <v>10080613</v>
      </c>
      <c r="BI27" s="756">
        <v>7005159.41</v>
      </c>
      <c r="BJ27" s="746"/>
      <c r="BK27" s="747"/>
      <c r="BL27" s="747"/>
      <c r="BM27" s="756"/>
      <c r="BN27" s="746"/>
      <c r="BO27" s="747"/>
      <c r="BP27" s="747"/>
      <c r="BQ27" s="756"/>
      <c r="BR27" s="746">
        <v>1607</v>
      </c>
      <c r="BS27" s="747">
        <v>25</v>
      </c>
      <c r="BT27" s="747">
        <v>852596</v>
      </c>
      <c r="BU27" s="756">
        <v>1171055</v>
      </c>
      <c r="BV27" s="746"/>
      <c r="BW27" s="747"/>
      <c r="BX27" s="747"/>
      <c r="BY27" s="756"/>
      <c r="BZ27" s="746">
        <v>3662</v>
      </c>
      <c r="CA27" s="747">
        <v>66</v>
      </c>
      <c r="CB27" s="747">
        <v>69218</v>
      </c>
      <c r="CC27" s="756">
        <v>8545</v>
      </c>
      <c r="CD27" s="746">
        <v>14369</v>
      </c>
      <c r="CE27" s="747">
        <v>1</v>
      </c>
      <c r="CF27" s="747">
        <v>2031291</v>
      </c>
      <c r="CG27" s="756">
        <v>1758312</v>
      </c>
      <c r="CH27" s="746">
        <v>5778.12</v>
      </c>
      <c r="CI27" s="747"/>
      <c r="CJ27" s="747">
        <v>26254</v>
      </c>
      <c r="CK27" s="756">
        <v>283055.98</v>
      </c>
      <c r="CL27" s="746">
        <v>853</v>
      </c>
      <c r="CM27" s="747"/>
      <c r="CN27" s="747">
        <v>500</v>
      </c>
      <c r="CO27" s="756">
        <v>36944</v>
      </c>
      <c r="CP27" s="746">
        <v>5490971.26</v>
      </c>
      <c r="CQ27" s="747">
        <v>34</v>
      </c>
      <c r="CR27" s="747">
        <v>13049</v>
      </c>
      <c r="CS27" s="756">
        <v>43857.84</v>
      </c>
    </row>
    <row r="28" spans="1:97" ht="16.5">
      <c r="A28" s="1103" t="s">
        <v>268</v>
      </c>
      <c r="B28" s="746"/>
      <c r="C28" s="747"/>
      <c r="D28" s="747"/>
      <c r="E28" s="748"/>
      <c r="F28" s="755"/>
      <c r="G28" s="747"/>
      <c r="H28" s="747"/>
      <c r="I28" s="756"/>
      <c r="J28" s="746"/>
      <c r="K28" s="747"/>
      <c r="L28" s="747"/>
      <c r="M28" s="756"/>
      <c r="N28" s="746"/>
      <c r="O28" s="747"/>
      <c r="P28" s="747"/>
      <c r="Q28" s="778"/>
      <c r="R28" s="755"/>
      <c r="S28" s="747"/>
      <c r="T28" s="747"/>
      <c r="U28" s="756"/>
      <c r="V28" s="746"/>
      <c r="W28" s="747"/>
      <c r="X28" s="747"/>
      <c r="Y28" s="756"/>
      <c r="Z28" s="746"/>
      <c r="AA28" s="747"/>
      <c r="AB28" s="747"/>
      <c r="AC28" s="756"/>
      <c r="AD28" s="746"/>
      <c r="AE28" s="747"/>
      <c r="AF28" s="747"/>
      <c r="AG28" s="756"/>
      <c r="AH28" s="746"/>
      <c r="AI28" s="747"/>
      <c r="AJ28" s="747"/>
      <c r="AK28" s="756"/>
      <c r="AL28" s="746"/>
      <c r="AM28" s="747"/>
      <c r="AN28" s="747"/>
      <c r="AO28" s="756"/>
      <c r="AP28" s="746"/>
      <c r="AQ28" s="747"/>
      <c r="AR28" s="747"/>
      <c r="AS28" s="756"/>
      <c r="AT28" s="746"/>
      <c r="AU28" s="747"/>
      <c r="AV28" s="747"/>
      <c r="AW28" s="756"/>
      <c r="AX28" s="746"/>
      <c r="AY28" s="747"/>
      <c r="AZ28" s="747"/>
      <c r="BA28" s="756"/>
      <c r="BB28" s="746"/>
      <c r="BC28" s="747"/>
      <c r="BD28" s="747"/>
      <c r="BE28" s="756"/>
      <c r="BF28" s="746"/>
      <c r="BG28" s="747"/>
      <c r="BH28" s="747"/>
      <c r="BI28" s="756"/>
      <c r="BJ28" s="746"/>
      <c r="BK28" s="747"/>
      <c r="BL28" s="747"/>
      <c r="BM28" s="756"/>
      <c r="BN28" s="746"/>
      <c r="BO28" s="747"/>
      <c r="BP28" s="747"/>
      <c r="BQ28" s="756"/>
      <c r="BR28" s="746"/>
      <c r="BS28" s="747"/>
      <c r="BT28" s="747"/>
      <c r="BU28" s="756"/>
      <c r="BV28" s="746"/>
      <c r="BW28" s="747"/>
      <c r="BX28" s="747"/>
      <c r="BY28" s="756"/>
      <c r="BZ28" s="746"/>
      <c r="CA28" s="747"/>
      <c r="CB28" s="747"/>
      <c r="CC28" s="756"/>
      <c r="CD28" s="746"/>
      <c r="CE28" s="747"/>
      <c r="CF28" s="747"/>
      <c r="CG28" s="756"/>
      <c r="CH28" s="746"/>
      <c r="CI28" s="747"/>
      <c r="CJ28" s="747"/>
      <c r="CK28" s="756"/>
      <c r="CL28" s="746"/>
      <c r="CM28" s="747"/>
      <c r="CN28" s="747"/>
      <c r="CO28" s="756"/>
      <c r="CP28" s="746"/>
      <c r="CQ28" s="747"/>
      <c r="CR28" s="747"/>
      <c r="CS28" s="756"/>
    </row>
    <row r="29" spans="1:97" ht="16.5">
      <c r="A29" s="1104" t="s">
        <v>260</v>
      </c>
      <c r="B29" s="757"/>
      <c r="C29" s="747"/>
      <c r="D29" s="758"/>
      <c r="E29" s="748"/>
      <c r="F29" s="755"/>
      <c r="G29" s="747"/>
      <c r="H29" s="747"/>
      <c r="I29" s="756"/>
      <c r="J29" s="746"/>
      <c r="K29" s="747"/>
      <c r="L29" s="747"/>
      <c r="M29" s="756"/>
      <c r="N29" s="746"/>
      <c r="O29" s="747"/>
      <c r="P29" s="747"/>
      <c r="Q29" s="778"/>
      <c r="R29" s="755"/>
      <c r="S29" s="747"/>
      <c r="T29" s="747"/>
      <c r="U29" s="756"/>
      <c r="V29" s="746"/>
      <c r="W29" s="747"/>
      <c r="X29" s="747"/>
      <c r="Y29" s="756"/>
      <c r="Z29" s="746"/>
      <c r="AA29" s="747"/>
      <c r="AB29" s="747"/>
      <c r="AC29" s="756"/>
      <c r="AD29" s="746"/>
      <c r="AE29" s="747"/>
      <c r="AF29" s="747"/>
      <c r="AG29" s="756"/>
      <c r="AH29" s="746"/>
      <c r="AI29" s="747"/>
      <c r="AJ29" s="747"/>
      <c r="AK29" s="756"/>
      <c r="AL29" s="746"/>
      <c r="AM29" s="747"/>
      <c r="AN29" s="747"/>
      <c r="AO29" s="756"/>
      <c r="AP29" s="746"/>
      <c r="AQ29" s="747"/>
      <c r="AR29" s="747"/>
      <c r="AS29" s="756"/>
      <c r="AT29" s="746"/>
      <c r="AU29" s="747"/>
      <c r="AV29" s="747"/>
      <c r="AW29" s="756"/>
      <c r="AX29" s="746"/>
      <c r="AY29" s="747"/>
      <c r="AZ29" s="747"/>
      <c r="BA29" s="756"/>
      <c r="BB29" s="746"/>
      <c r="BC29" s="747"/>
      <c r="BD29" s="747"/>
      <c r="BE29" s="756"/>
      <c r="BF29" s="746"/>
      <c r="BG29" s="747"/>
      <c r="BH29" s="747"/>
      <c r="BI29" s="756"/>
      <c r="BJ29" s="746"/>
      <c r="BK29" s="747"/>
      <c r="BL29" s="747"/>
      <c r="BM29" s="756"/>
      <c r="BN29" s="746"/>
      <c r="BO29" s="747"/>
      <c r="BP29" s="747"/>
      <c r="BQ29" s="756"/>
      <c r="BR29" s="746"/>
      <c r="BS29" s="747"/>
      <c r="BT29" s="747"/>
      <c r="BU29" s="756"/>
      <c r="BV29" s="746"/>
      <c r="BW29" s="747"/>
      <c r="BX29" s="747"/>
      <c r="BY29" s="756"/>
      <c r="BZ29" s="746"/>
      <c r="CA29" s="747"/>
      <c r="CB29" s="747"/>
      <c r="CC29" s="756"/>
      <c r="CD29" s="746"/>
      <c r="CE29" s="747"/>
      <c r="CF29" s="747"/>
      <c r="CG29" s="756"/>
      <c r="CH29" s="746"/>
      <c r="CI29" s="747"/>
      <c r="CJ29" s="747"/>
      <c r="CK29" s="756"/>
      <c r="CL29" s="746"/>
      <c r="CM29" s="747"/>
      <c r="CN29" s="747"/>
      <c r="CO29" s="756"/>
      <c r="CP29" s="746"/>
      <c r="CQ29" s="747"/>
      <c r="CR29" s="747"/>
      <c r="CS29" s="756"/>
    </row>
    <row r="30" spans="1:97" ht="16.5">
      <c r="A30" s="1104" t="s">
        <v>261</v>
      </c>
      <c r="B30" s="757"/>
      <c r="C30" s="747"/>
      <c r="D30" s="758"/>
      <c r="E30" s="748"/>
      <c r="F30" s="755"/>
      <c r="G30" s="747"/>
      <c r="H30" s="747"/>
      <c r="I30" s="756"/>
      <c r="J30" s="746"/>
      <c r="K30" s="747"/>
      <c r="L30" s="747"/>
      <c r="M30" s="756"/>
      <c r="N30" s="746"/>
      <c r="O30" s="747"/>
      <c r="P30" s="747"/>
      <c r="Q30" s="778"/>
      <c r="R30" s="755"/>
      <c r="S30" s="747"/>
      <c r="T30" s="747"/>
      <c r="U30" s="756"/>
      <c r="V30" s="746"/>
      <c r="W30" s="747"/>
      <c r="X30" s="747"/>
      <c r="Y30" s="756"/>
      <c r="Z30" s="746"/>
      <c r="AA30" s="747"/>
      <c r="AB30" s="747"/>
      <c r="AC30" s="756"/>
      <c r="AD30" s="746"/>
      <c r="AE30" s="747"/>
      <c r="AF30" s="747"/>
      <c r="AG30" s="756"/>
      <c r="AH30" s="746"/>
      <c r="AI30" s="747"/>
      <c r="AJ30" s="747"/>
      <c r="AK30" s="756"/>
      <c r="AL30" s="746"/>
      <c r="AM30" s="747"/>
      <c r="AN30" s="747"/>
      <c r="AO30" s="756"/>
      <c r="AP30" s="746"/>
      <c r="AQ30" s="747"/>
      <c r="AR30" s="747"/>
      <c r="AS30" s="756"/>
      <c r="AT30" s="746"/>
      <c r="AU30" s="747"/>
      <c r="AV30" s="747"/>
      <c r="AW30" s="756"/>
      <c r="AX30" s="746"/>
      <c r="AY30" s="747"/>
      <c r="AZ30" s="747"/>
      <c r="BA30" s="756"/>
      <c r="BB30" s="746"/>
      <c r="BC30" s="747"/>
      <c r="BD30" s="747"/>
      <c r="BE30" s="756"/>
      <c r="BF30" s="746"/>
      <c r="BG30" s="747"/>
      <c r="BH30" s="747"/>
      <c r="BI30" s="756"/>
      <c r="BJ30" s="746"/>
      <c r="BK30" s="747"/>
      <c r="BL30" s="747"/>
      <c r="BM30" s="756"/>
      <c r="BN30" s="746"/>
      <c r="BO30" s="747"/>
      <c r="BP30" s="747"/>
      <c r="BQ30" s="756"/>
      <c r="BR30" s="746"/>
      <c r="BS30" s="747"/>
      <c r="BT30" s="747"/>
      <c r="BU30" s="756"/>
      <c r="BV30" s="746"/>
      <c r="BW30" s="747"/>
      <c r="BX30" s="747"/>
      <c r="BY30" s="756"/>
      <c r="BZ30" s="746"/>
      <c r="CA30" s="747"/>
      <c r="CB30" s="747"/>
      <c r="CC30" s="756"/>
      <c r="CD30" s="746"/>
      <c r="CE30" s="747"/>
      <c r="CF30" s="747"/>
      <c r="CG30" s="756"/>
      <c r="CH30" s="746"/>
      <c r="CI30" s="747"/>
      <c r="CJ30" s="747"/>
      <c r="CK30" s="756"/>
      <c r="CL30" s="746"/>
      <c r="CM30" s="747"/>
      <c r="CN30" s="747"/>
      <c r="CO30" s="756"/>
      <c r="CP30" s="746"/>
      <c r="CQ30" s="747"/>
      <c r="CR30" s="747"/>
      <c r="CS30" s="756"/>
    </row>
    <row r="31" spans="1:97" ht="16.5">
      <c r="A31" s="1104" t="s">
        <v>262</v>
      </c>
      <c r="B31" s="757"/>
      <c r="C31" s="747"/>
      <c r="D31" s="758"/>
      <c r="E31" s="748"/>
      <c r="F31" s="755"/>
      <c r="G31" s="747"/>
      <c r="H31" s="747"/>
      <c r="I31" s="756"/>
      <c r="J31" s="746"/>
      <c r="K31" s="747"/>
      <c r="L31" s="747"/>
      <c r="M31" s="756"/>
      <c r="N31" s="746"/>
      <c r="O31" s="747"/>
      <c r="P31" s="747"/>
      <c r="Q31" s="778"/>
      <c r="R31" s="755"/>
      <c r="S31" s="747"/>
      <c r="T31" s="747"/>
      <c r="U31" s="756"/>
      <c r="V31" s="746"/>
      <c r="W31" s="747"/>
      <c r="X31" s="747"/>
      <c r="Y31" s="756"/>
      <c r="Z31" s="746"/>
      <c r="AA31" s="747"/>
      <c r="AB31" s="747"/>
      <c r="AC31" s="756"/>
      <c r="AD31" s="746"/>
      <c r="AE31" s="747"/>
      <c r="AF31" s="747"/>
      <c r="AG31" s="756"/>
      <c r="AH31" s="746"/>
      <c r="AI31" s="747"/>
      <c r="AJ31" s="747"/>
      <c r="AK31" s="756"/>
      <c r="AL31" s="746"/>
      <c r="AM31" s="747"/>
      <c r="AN31" s="747"/>
      <c r="AO31" s="756"/>
      <c r="AP31" s="746"/>
      <c r="AQ31" s="747"/>
      <c r="AR31" s="747"/>
      <c r="AS31" s="756"/>
      <c r="AT31" s="746"/>
      <c r="AU31" s="747"/>
      <c r="AV31" s="747"/>
      <c r="AW31" s="756"/>
      <c r="AX31" s="746"/>
      <c r="AY31" s="747"/>
      <c r="AZ31" s="747"/>
      <c r="BA31" s="756"/>
      <c r="BB31" s="746"/>
      <c r="BC31" s="747"/>
      <c r="BD31" s="747"/>
      <c r="BE31" s="756"/>
      <c r="BF31" s="746"/>
      <c r="BG31" s="747"/>
      <c r="BH31" s="747"/>
      <c r="BI31" s="756"/>
      <c r="BJ31" s="746"/>
      <c r="BK31" s="747"/>
      <c r="BL31" s="747"/>
      <c r="BM31" s="756"/>
      <c r="BN31" s="746"/>
      <c r="BO31" s="747"/>
      <c r="BP31" s="747"/>
      <c r="BQ31" s="756"/>
      <c r="BR31" s="746"/>
      <c r="BS31" s="747"/>
      <c r="BT31" s="747"/>
      <c r="BU31" s="756"/>
      <c r="BV31" s="746"/>
      <c r="BW31" s="747"/>
      <c r="BX31" s="747"/>
      <c r="BY31" s="756"/>
      <c r="BZ31" s="746"/>
      <c r="CA31" s="747"/>
      <c r="CB31" s="747"/>
      <c r="CC31" s="756"/>
      <c r="CD31" s="746"/>
      <c r="CE31" s="747"/>
      <c r="CF31" s="747"/>
      <c r="CG31" s="756"/>
      <c r="CH31" s="746"/>
      <c r="CI31" s="747"/>
      <c r="CJ31" s="747"/>
      <c r="CK31" s="756"/>
      <c r="CL31" s="746"/>
      <c r="CM31" s="747"/>
      <c r="CN31" s="747"/>
      <c r="CO31" s="756"/>
      <c r="CP31" s="746"/>
      <c r="CQ31" s="747"/>
      <c r="CR31" s="747"/>
      <c r="CS31" s="756"/>
    </row>
    <row r="32" spans="1:97" ht="16.5">
      <c r="A32" s="1104" t="s">
        <v>263</v>
      </c>
      <c r="B32" s="757"/>
      <c r="C32" s="747"/>
      <c r="D32" s="758"/>
      <c r="E32" s="748"/>
      <c r="F32" s="755"/>
      <c r="G32" s="747"/>
      <c r="H32" s="747"/>
      <c r="I32" s="756"/>
      <c r="J32" s="746"/>
      <c r="K32" s="747"/>
      <c r="L32" s="747"/>
      <c r="M32" s="756"/>
      <c r="N32" s="746"/>
      <c r="O32" s="747"/>
      <c r="P32" s="747"/>
      <c r="Q32" s="778"/>
      <c r="R32" s="755"/>
      <c r="S32" s="747"/>
      <c r="T32" s="747"/>
      <c r="U32" s="756"/>
      <c r="V32" s="746"/>
      <c r="W32" s="747"/>
      <c r="X32" s="747"/>
      <c r="Y32" s="756"/>
      <c r="Z32" s="746"/>
      <c r="AA32" s="747"/>
      <c r="AB32" s="747"/>
      <c r="AC32" s="756"/>
      <c r="AD32" s="746"/>
      <c r="AE32" s="747"/>
      <c r="AF32" s="747"/>
      <c r="AG32" s="756"/>
      <c r="AH32" s="746"/>
      <c r="AI32" s="747"/>
      <c r="AJ32" s="747"/>
      <c r="AK32" s="756"/>
      <c r="AL32" s="746"/>
      <c r="AM32" s="747"/>
      <c r="AN32" s="747"/>
      <c r="AO32" s="756"/>
      <c r="AP32" s="746"/>
      <c r="AQ32" s="747"/>
      <c r="AR32" s="747"/>
      <c r="AS32" s="756"/>
      <c r="AT32" s="746"/>
      <c r="AU32" s="747"/>
      <c r="AV32" s="747"/>
      <c r="AW32" s="756"/>
      <c r="AX32" s="746"/>
      <c r="AY32" s="747"/>
      <c r="AZ32" s="747"/>
      <c r="BA32" s="756"/>
      <c r="BB32" s="746"/>
      <c r="BC32" s="747"/>
      <c r="BD32" s="747"/>
      <c r="BE32" s="756"/>
      <c r="BF32" s="746"/>
      <c r="BG32" s="747"/>
      <c r="BH32" s="747"/>
      <c r="BI32" s="756"/>
      <c r="BJ32" s="746"/>
      <c r="BK32" s="747"/>
      <c r="BL32" s="747"/>
      <c r="BM32" s="756"/>
      <c r="BN32" s="746"/>
      <c r="BO32" s="747"/>
      <c r="BP32" s="747"/>
      <c r="BQ32" s="756"/>
      <c r="BR32" s="746"/>
      <c r="BS32" s="747"/>
      <c r="BT32" s="747"/>
      <c r="BU32" s="756"/>
      <c r="BV32" s="746"/>
      <c r="BW32" s="747"/>
      <c r="BX32" s="747"/>
      <c r="BY32" s="756"/>
      <c r="BZ32" s="746"/>
      <c r="CA32" s="747"/>
      <c r="CB32" s="747"/>
      <c r="CC32" s="756"/>
      <c r="CD32" s="746"/>
      <c r="CE32" s="747"/>
      <c r="CF32" s="747"/>
      <c r="CG32" s="756"/>
      <c r="CH32" s="746"/>
      <c r="CI32" s="747"/>
      <c r="CJ32" s="747"/>
      <c r="CK32" s="756"/>
      <c r="CL32" s="746"/>
      <c r="CM32" s="747"/>
      <c r="CN32" s="747"/>
      <c r="CO32" s="756"/>
      <c r="CP32" s="746"/>
      <c r="CQ32" s="747"/>
      <c r="CR32" s="747"/>
      <c r="CS32" s="756"/>
    </row>
    <row r="33" spans="1:97" ht="16.5">
      <c r="A33" s="1104" t="s">
        <v>264</v>
      </c>
      <c r="B33" s="757"/>
      <c r="C33" s="747"/>
      <c r="D33" s="758"/>
      <c r="E33" s="748"/>
      <c r="F33" s="755"/>
      <c r="G33" s="747"/>
      <c r="H33" s="747"/>
      <c r="I33" s="756"/>
      <c r="J33" s="746"/>
      <c r="K33" s="747"/>
      <c r="L33" s="747"/>
      <c r="M33" s="756"/>
      <c r="N33" s="746"/>
      <c r="O33" s="747"/>
      <c r="P33" s="747"/>
      <c r="Q33" s="778"/>
      <c r="R33" s="755"/>
      <c r="S33" s="747"/>
      <c r="T33" s="747"/>
      <c r="U33" s="756"/>
      <c r="V33" s="746"/>
      <c r="W33" s="747"/>
      <c r="X33" s="747"/>
      <c r="Y33" s="756"/>
      <c r="Z33" s="746"/>
      <c r="AA33" s="747"/>
      <c r="AB33" s="747"/>
      <c r="AC33" s="756"/>
      <c r="AD33" s="746"/>
      <c r="AE33" s="747"/>
      <c r="AF33" s="747"/>
      <c r="AG33" s="756"/>
      <c r="AH33" s="746"/>
      <c r="AI33" s="747"/>
      <c r="AJ33" s="747"/>
      <c r="AK33" s="756"/>
      <c r="AL33" s="746"/>
      <c r="AM33" s="747"/>
      <c r="AN33" s="747"/>
      <c r="AO33" s="756"/>
      <c r="AP33" s="746"/>
      <c r="AQ33" s="747"/>
      <c r="AR33" s="747"/>
      <c r="AS33" s="756"/>
      <c r="AT33" s="746"/>
      <c r="AU33" s="747"/>
      <c r="AV33" s="747"/>
      <c r="AW33" s="756"/>
      <c r="AX33" s="746"/>
      <c r="AY33" s="747"/>
      <c r="AZ33" s="747"/>
      <c r="BA33" s="756"/>
      <c r="BB33" s="746"/>
      <c r="BC33" s="747"/>
      <c r="BD33" s="747"/>
      <c r="BE33" s="756"/>
      <c r="BF33" s="746"/>
      <c r="BG33" s="747"/>
      <c r="BH33" s="747"/>
      <c r="BI33" s="756"/>
      <c r="BJ33" s="746"/>
      <c r="BK33" s="747"/>
      <c r="BL33" s="747"/>
      <c r="BM33" s="756"/>
      <c r="BN33" s="746"/>
      <c r="BO33" s="747"/>
      <c r="BP33" s="747"/>
      <c r="BQ33" s="756"/>
      <c r="BR33" s="746"/>
      <c r="BS33" s="747"/>
      <c r="BT33" s="747"/>
      <c r="BU33" s="756"/>
      <c r="BV33" s="746"/>
      <c r="BW33" s="747"/>
      <c r="BX33" s="747"/>
      <c r="BY33" s="756"/>
      <c r="BZ33" s="746"/>
      <c r="CA33" s="747"/>
      <c r="CB33" s="747"/>
      <c r="CC33" s="756"/>
      <c r="CD33" s="746"/>
      <c r="CE33" s="747"/>
      <c r="CF33" s="747"/>
      <c r="CG33" s="756"/>
      <c r="CH33" s="746"/>
      <c r="CI33" s="747"/>
      <c r="CJ33" s="747"/>
      <c r="CK33" s="756"/>
      <c r="CL33" s="746"/>
      <c r="CM33" s="747"/>
      <c r="CN33" s="747"/>
      <c r="CO33" s="756"/>
      <c r="CP33" s="746"/>
      <c r="CQ33" s="747"/>
      <c r="CR33" s="747"/>
      <c r="CS33" s="756"/>
    </row>
    <row r="34" spans="1:97" ht="16.5">
      <c r="A34" s="1104" t="s">
        <v>265</v>
      </c>
      <c r="B34" s="757"/>
      <c r="C34" s="747"/>
      <c r="D34" s="758"/>
      <c r="E34" s="748"/>
      <c r="F34" s="755"/>
      <c r="G34" s="747"/>
      <c r="H34" s="747"/>
      <c r="I34" s="756"/>
      <c r="J34" s="746"/>
      <c r="K34" s="747"/>
      <c r="L34" s="747"/>
      <c r="M34" s="756"/>
      <c r="N34" s="746"/>
      <c r="O34" s="747"/>
      <c r="P34" s="747"/>
      <c r="Q34" s="778"/>
      <c r="R34" s="755"/>
      <c r="S34" s="747"/>
      <c r="T34" s="747"/>
      <c r="U34" s="756"/>
      <c r="V34" s="746"/>
      <c r="W34" s="747"/>
      <c r="X34" s="747"/>
      <c r="Y34" s="756"/>
      <c r="Z34" s="746"/>
      <c r="AA34" s="747"/>
      <c r="AB34" s="747"/>
      <c r="AC34" s="756"/>
      <c r="AD34" s="746"/>
      <c r="AE34" s="747"/>
      <c r="AF34" s="747"/>
      <c r="AG34" s="756"/>
      <c r="AH34" s="746"/>
      <c r="AI34" s="747"/>
      <c r="AJ34" s="747"/>
      <c r="AK34" s="756"/>
      <c r="AL34" s="746"/>
      <c r="AM34" s="747"/>
      <c r="AN34" s="747"/>
      <c r="AO34" s="756"/>
      <c r="AP34" s="746"/>
      <c r="AQ34" s="747"/>
      <c r="AR34" s="747"/>
      <c r="AS34" s="756"/>
      <c r="AT34" s="746"/>
      <c r="AU34" s="747"/>
      <c r="AV34" s="747"/>
      <c r="AW34" s="756"/>
      <c r="AX34" s="746"/>
      <c r="AY34" s="747"/>
      <c r="AZ34" s="747"/>
      <c r="BA34" s="756"/>
      <c r="BB34" s="746"/>
      <c r="BC34" s="747"/>
      <c r="BD34" s="747"/>
      <c r="BE34" s="756"/>
      <c r="BF34" s="746"/>
      <c r="BG34" s="747"/>
      <c r="BH34" s="747"/>
      <c r="BI34" s="756"/>
      <c r="BJ34" s="746"/>
      <c r="BK34" s="747"/>
      <c r="BL34" s="747"/>
      <c r="BM34" s="756"/>
      <c r="BN34" s="746"/>
      <c r="BO34" s="747"/>
      <c r="BP34" s="747"/>
      <c r="BQ34" s="756"/>
      <c r="BR34" s="746"/>
      <c r="BS34" s="747"/>
      <c r="BT34" s="747"/>
      <c r="BU34" s="756"/>
      <c r="BV34" s="746"/>
      <c r="BW34" s="747"/>
      <c r="BX34" s="747"/>
      <c r="BY34" s="756"/>
      <c r="BZ34" s="746"/>
      <c r="CA34" s="747"/>
      <c r="CB34" s="747"/>
      <c r="CC34" s="756"/>
      <c r="CD34" s="746"/>
      <c r="CE34" s="747"/>
      <c r="CF34" s="747"/>
      <c r="CG34" s="756"/>
      <c r="CH34" s="746"/>
      <c r="CI34" s="747"/>
      <c r="CJ34" s="747"/>
      <c r="CK34" s="756"/>
      <c r="CL34" s="746"/>
      <c r="CM34" s="747"/>
      <c r="CN34" s="747"/>
      <c r="CO34" s="756"/>
      <c r="CP34" s="746"/>
      <c r="CQ34" s="747"/>
      <c r="CR34" s="747"/>
      <c r="CS34" s="756"/>
    </row>
    <row r="35" spans="1:97" ht="16.5">
      <c r="A35" s="1104" t="s">
        <v>266</v>
      </c>
      <c r="B35" s="757"/>
      <c r="C35" s="747"/>
      <c r="D35" s="758"/>
      <c r="E35" s="748"/>
      <c r="F35" s="755"/>
      <c r="G35" s="747"/>
      <c r="H35" s="747"/>
      <c r="I35" s="756"/>
      <c r="J35" s="746"/>
      <c r="K35" s="747"/>
      <c r="L35" s="747"/>
      <c r="M35" s="756"/>
      <c r="N35" s="746"/>
      <c r="O35" s="747"/>
      <c r="P35" s="747"/>
      <c r="Q35" s="778"/>
      <c r="R35" s="755"/>
      <c r="S35" s="747"/>
      <c r="T35" s="747"/>
      <c r="U35" s="756"/>
      <c r="V35" s="746"/>
      <c r="W35" s="747"/>
      <c r="X35" s="747"/>
      <c r="Y35" s="756"/>
      <c r="Z35" s="746"/>
      <c r="AA35" s="747"/>
      <c r="AB35" s="747"/>
      <c r="AC35" s="756"/>
      <c r="AD35" s="746"/>
      <c r="AE35" s="747"/>
      <c r="AF35" s="747"/>
      <c r="AG35" s="756"/>
      <c r="AH35" s="746"/>
      <c r="AI35" s="747"/>
      <c r="AJ35" s="747"/>
      <c r="AK35" s="756"/>
      <c r="AL35" s="746"/>
      <c r="AM35" s="747"/>
      <c r="AN35" s="747"/>
      <c r="AO35" s="756"/>
      <c r="AP35" s="746"/>
      <c r="AQ35" s="747"/>
      <c r="AR35" s="747"/>
      <c r="AS35" s="756"/>
      <c r="AT35" s="746"/>
      <c r="AU35" s="747"/>
      <c r="AV35" s="747"/>
      <c r="AW35" s="756"/>
      <c r="AX35" s="746"/>
      <c r="AY35" s="747"/>
      <c r="AZ35" s="747"/>
      <c r="BA35" s="756"/>
      <c r="BB35" s="746"/>
      <c r="BC35" s="747"/>
      <c r="BD35" s="747"/>
      <c r="BE35" s="756"/>
      <c r="BF35" s="746"/>
      <c r="BG35" s="747"/>
      <c r="BH35" s="747"/>
      <c r="BI35" s="756"/>
      <c r="BJ35" s="746"/>
      <c r="BK35" s="747"/>
      <c r="BL35" s="747"/>
      <c r="BM35" s="756"/>
      <c r="BN35" s="746"/>
      <c r="BO35" s="747"/>
      <c r="BP35" s="747"/>
      <c r="BQ35" s="756"/>
      <c r="BR35" s="746"/>
      <c r="BS35" s="747"/>
      <c r="BT35" s="747"/>
      <c r="BU35" s="756"/>
      <c r="BV35" s="746"/>
      <c r="BW35" s="747"/>
      <c r="BX35" s="747"/>
      <c r="BY35" s="756"/>
      <c r="BZ35" s="746"/>
      <c r="CA35" s="747"/>
      <c r="CB35" s="747"/>
      <c r="CC35" s="756"/>
      <c r="CD35" s="746"/>
      <c r="CE35" s="747"/>
      <c r="CF35" s="747"/>
      <c r="CG35" s="756"/>
      <c r="CH35" s="746"/>
      <c r="CI35" s="747"/>
      <c r="CJ35" s="747"/>
      <c r="CK35" s="756"/>
      <c r="CL35" s="746"/>
      <c r="CM35" s="747"/>
      <c r="CN35" s="747"/>
      <c r="CO35" s="756"/>
      <c r="CP35" s="746">
        <v>1707947.91</v>
      </c>
      <c r="CQ35" s="747">
        <v>4</v>
      </c>
      <c r="CR35" s="747">
        <v>2629</v>
      </c>
      <c r="CS35" s="756"/>
    </row>
    <row r="36" spans="1:97" ht="16.5">
      <c r="A36" s="1103" t="s">
        <v>269</v>
      </c>
      <c r="B36" s="746"/>
      <c r="C36" s="747"/>
      <c r="D36" s="747"/>
      <c r="E36" s="748"/>
      <c r="F36" s="755"/>
      <c r="G36" s="747"/>
      <c r="H36" s="747"/>
      <c r="I36" s="756"/>
      <c r="J36" s="746"/>
      <c r="K36" s="747"/>
      <c r="L36" s="747"/>
      <c r="M36" s="756"/>
      <c r="N36" s="746"/>
      <c r="O36" s="747"/>
      <c r="P36" s="747"/>
      <c r="Q36" s="778"/>
      <c r="R36" s="755"/>
      <c r="S36" s="747"/>
      <c r="T36" s="747"/>
      <c r="U36" s="756"/>
      <c r="V36" s="746"/>
      <c r="W36" s="747"/>
      <c r="X36" s="747"/>
      <c r="Y36" s="756"/>
      <c r="Z36" s="746"/>
      <c r="AA36" s="747"/>
      <c r="AB36" s="747"/>
      <c r="AC36" s="756"/>
      <c r="AD36" s="746"/>
      <c r="AE36" s="747"/>
      <c r="AF36" s="747"/>
      <c r="AG36" s="756"/>
      <c r="AH36" s="746"/>
      <c r="AI36" s="747"/>
      <c r="AJ36" s="747"/>
      <c r="AK36" s="756"/>
      <c r="AL36" s="746"/>
      <c r="AM36" s="747"/>
      <c r="AN36" s="747"/>
      <c r="AO36" s="756"/>
      <c r="AP36" s="746"/>
      <c r="AQ36" s="747"/>
      <c r="AR36" s="747"/>
      <c r="AS36" s="756"/>
      <c r="AT36" s="746"/>
      <c r="AU36" s="747"/>
      <c r="AV36" s="747"/>
      <c r="AW36" s="756"/>
      <c r="AX36" s="746"/>
      <c r="AY36" s="747"/>
      <c r="AZ36" s="747"/>
      <c r="BA36" s="756"/>
      <c r="BB36" s="746"/>
      <c r="BC36" s="747"/>
      <c r="BD36" s="747"/>
      <c r="BE36" s="756"/>
      <c r="BF36" s="746"/>
      <c r="BG36" s="747"/>
      <c r="BH36" s="747"/>
      <c r="BI36" s="756"/>
      <c r="BJ36" s="746"/>
      <c r="BK36" s="747"/>
      <c r="BL36" s="747"/>
      <c r="BM36" s="756"/>
      <c r="BN36" s="746"/>
      <c r="BO36" s="747"/>
      <c r="BP36" s="747"/>
      <c r="BQ36" s="756"/>
      <c r="BR36" s="746"/>
      <c r="BS36" s="747"/>
      <c r="BT36" s="747"/>
      <c r="BU36" s="756"/>
      <c r="BV36" s="746"/>
      <c r="BW36" s="747"/>
      <c r="BX36" s="747"/>
      <c r="BY36" s="756"/>
      <c r="BZ36" s="746"/>
      <c r="CA36" s="747"/>
      <c r="CB36" s="747"/>
      <c r="CC36" s="756"/>
      <c r="CD36" s="746"/>
      <c r="CE36" s="747"/>
      <c r="CF36" s="747"/>
      <c r="CG36" s="756"/>
      <c r="CH36" s="746"/>
      <c r="CI36" s="747"/>
      <c r="CJ36" s="747"/>
      <c r="CK36" s="756"/>
      <c r="CL36" s="746"/>
      <c r="CM36" s="747"/>
      <c r="CN36" s="747"/>
      <c r="CO36" s="756"/>
      <c r="CP36" s="746"/>
      <c r="CQ36" s="747"/>
      <c r="CR36" s="747"/>
      <c r="CS36" s="756"/>
    </row>
    <row r="37" spans="1:97" ht="16.5">
      <c r="A37" s="1104" t="s">
        <v>252</v>
      </c>
      <c r="B37" s="746">
        <v>16235</v>
      </c>
      <c r="C37" s="747">
        <v>59479</v>
      </c>
      <c r="D37" s="747">
        <f>C37</f>
        <v>59479</v>
      </c>
      <c r="E37" s="748">
        <v>824714</v>
      </c>
      <c r="F37" s="755">
        <v>474</v>
      </c>
      <c r="G37" s="747">
        <v>5772</v>
      </c>
      <c r="H37" s="747">
        <v>5345</v>
      </c>
      <c r="I37" s="756">
        <v>367014</v>
      </c>
      <c r="J37" s="746">
        <v>63</v>
      </c>
      <c r="K37" s="747">
        <v>1855</v>
      </c>
      <c r="L37" s="747">
        <v>1841</v>
      </c>
      <c r="M37" s="756">
        <v>25890</v>
      </c>
      <c r="N37" s="746">
        <v>8685</v>
      </c>
      <c r="O37" s="747">
        <v>54343</v>
      </c>
      <c r="P37" s="747">
        <v>52652</v>
      </c>
      <c r="Q37" s="778">
        <v>443663</v>
      </c>
      <c r="R37" s="755">
        <v>2.95</v>
      </c>
      <c r="S37" s="747">
        <v>63414</v>
      </c>
      <c r="T37" s="747">
        <v>63087</v>
      </c>
      <c r="U37" s="756">
        <v>2840.84</v>
      </c>
      <c r="V37" s="746">
        <v>576.6</v>
      </c>
      <c r="W37" s="747">
        <v>19811</v>
      </c>
      <c r="X37" s="747">
        <v>15951</v>
      </c>
      <c r="Y37" s="756">
        <v>318956.5</v>
      </c>
      <c r="Z37" s="746">
        <v>86.78</v>
      </c>
      <c r="AA37" s="747">
        <v>1090</v>
      </c>
      <c r="AB37" s="747">
        <v>1102</v>
      </c>
      <c r="AC37" s="756">
        <v>6968.87</v>
      </c>
      <c r="AD37" s="746">
        <v>4.67</v>
      </c>
      <c r="AE37" s="747">
        <v>7860</v>
      </c>
      <c r="AF37" s="747">
        <v>7191</v>
      </c>
      <c r="AG37" s="756">
        <v>2556.8</v>
      </c>
      <c r="AH37" s="746">
        <v>825.11</v>
      </c>
      <c r="AI37" s="747">
        <v>11447</v>
      </c>
      <c r="AJ37" s="747">
        <v>11420</v>
      </c>
      <c r="AK37" s="756">
        <v>123212.15</v>
      </c>
      <c r="AL37" s="746">
        <v>1193</v>
      </c>
      <c r="AM37" s="747">
        <v>5285</v>
      </c>
      <c r="AN37" s="747">
        <v>5082</v>
      </c>
      <c r="AO37" s="756">
        <v>62858</v>
      </c>
      <c r="AP37" s="746">
        <v>4596.07</v>
      </c>
      <c r="AQ37" s="747">
        <v>127734</v>
      </c>
      <c r="AR37" s="747">
        <f>AQ37</f>
        <v>127734</v>
      </c>
      <c r="AS37" s="756">
        <v>2356142.89</v>
      </c>
      <c r="AT37" s="746">
        <v>3115.2</v>
      </c>
      <c r="AU37" s="747">
        <v>99531</v>
      </c>
      <c r="AV37" s="747">
        <v>99227</v>
      </c>
      <c r="AW37" s="756">
        <v>2306295.6</v>
      </c>
      <c r="AX37" s="746">
        <v>1.02</v>
      </c>
      <c r="AY37" s="747">
        <v>2147</v>
      </c>
      <c r="AZ37" s="747">
        <v>2142</v>
      </c>
      <c r="BA37" s="756">
        <v>576.46</v>
      </c>
      <c r="BB37" s="746">
        <v>981.49</v>
      </c>
      <c r="BC37" s="747">
        <v>18806</v>
      </c>
      <c r="BD37" s="747">
        <f>BC37</f>
        <v>18806</v>
      </c>
      <c r="BE37" s="756">
        <v>1103330.9</v>
      </c>
      <c r="BF37" s="746">
        <v>540.47</v>
      </c>
      <c r="BG37" s="747">
        <v>8448</v>
      </c>
      <c r="BH37" s="747">
        <v>8377</v>
      </c>
      <c r="BI37" s="756">
        <v>501448.78</v>
      </c>
      <c r="BJ37" s="746">
        <v>45.35</v>
      </c>
      <c r="BK37" s="747">
        <v>58036</v>
      </c>
      <c r="BL37" s="747">
        <v>55065</v>
      </c>
      <c r="BM37" s="756">
        <v>24841.15</v>
      </c>
      <c r="BN37" s="746">
        <v>494</v>
      </c>
      <c r="BO37" s="747">
        <v>8128</v>
      </c>
      <c r="BP37" s="747">
        <v>7783</v>
      </c>
      <c r="BQ37" s="756">
        <v>629007</v>
      </c>
      <c r="BR37" s="746">
        <v>210</v>
      </c>
      <c r="BS37" s="747">
        <v>5889</v>
      </c>
      <c r="BT37" s="747">
        <v>3361</v>
      </c>
      <c r="BU37" s="756">
        <v>60681</v>
      </c>
      <c r="BV37" s="746"/>
      <c r="BW37" s="747"/>
      <c r="BX37" s="747"/>
      <c r="BY37" s="756"/>
      <c r="BZ37" s="746">
        <v>52</v>
      </c>
      <c r="CA37" s="747">
        <v>94333</v>
      </c>
      <c r="CB37" s="747">
        <f>CA37</f>
        <v>94333</v>
      </c>
      <c r="CC37" s="756">
        <v>7341</v>
      </c>
      <c r="CD37" s="746">
        <v>3949</v>
      </c>
      <c r="CE37" s="747">
        <v>91836</v>
      </c>
      <c r="CF37" s="747">
        <v>90556</v>
      </c>
      <c r="CG37" s="756">
        <v>396557</v>
      </c>
      <c r="CH37" s="746">
        <v>505.27</v>
      </c>
      <c r="CI37" s="747">
        <v>6541</v>
      </c>
      <c r="CJ37" s="747">
        <f>CI37</f>
        <v>6541</v>
      </c>
      <c r="CK37" s="756">
        <v>34784.04</v>
      </c>
      <c r="CL37" s="746">
        <v>903</v>
      </c>
      <c r="CM37" s="747">
        <v>80044</v>
      </c>
      <c r="CN37" s="747">
        <v>68050</v>
      </c>
      <c r="CO37" s="756">
        <v>772948</v>
      </c>
      <c r="CP37" s="746">
        <v>443397.56</v>
      </c>
      <c r="CQ37" s="747">
        <v>7852712</v>
      </c>
      <c r="CR37" s="747">
        <v>5864089</v>
      </c>
      <c r="CS37" s="756">
        <v>10362118.67</v>
      </c>
    </row>
    <row r="38" spans="1:97" ht="16.5">
      <c r="A38" s="1104" t="s">
        <v>253</v>
      </c>
      <c r="B38" s="753">
        <v>7882</v>
      </c>
      <c r="C38" s="747">
        <v>41970</v>
      </c>
      <c r="D38" s="747">
        <f aca="true" t="shared" si="3" ref="D38:D43">C38</f>
        <v>41970</v>
      </c>
      <c r="E38" s="748">
        <v>643469</v>
      </c>
      <c r="F38" s="755">
        <v>1216</v>
      </c>
      <c r="G38" s="747">
        <v>6835</v>
      </c>
      <c r="H38" s="747">
        <v>5861</v>
      </c>
      <c r="I38" s="756">
        <v>554353</v>
      </c>
      <c r="J38" s="746">
        <v>587</v>
      </c>
      <c r="K38" s="747">
        <v>3224</v>
      </c>
      <c r="L38" s="737">
        <v>3204</v>
      </c>
      <c r="M38" s="756">
        <v>53233</v>
      </c>
      <c r="N38" s="746">
        <v>16893</v>
      </c>
      <c r="O38" s="747">
        <v>59200</v>
      </c>
      <c r="P38" s="747">
        <v>54982</v>
      </c>
      <c r="Q38" s="778">
        <v>251571</v>
      </c>
      <c r="R38" s="755">
        <v>78.73</v>
      </c>
      <c r="S38" s="747">
        <v>44720</v>
      </c>
      <c r="T38" s="747">
        <v>44676</v>
      </c>
      <c r="U38" s="756">
        <v>2574.69</v>
      </c>
      <c r="V38" s="746">
        <v>6747.6</v>
      </c>
      <c r="W38" s="747">
        <v>33681</v>
      </c>
      <c r="X38" s="747">
        <v>32997</v>
      </c>
      <c r="Y38" s="756">
        <v>303805.6</v>
      </c>
      <c r="Z38" s="746">
        <v>919.09</v>
      </c>
      <c r="AA38" s="747">
        <v>5072</v>
      </c>
      <c r="AB38" s="747">
        <v>4988</v>
      </c>
      <c r="AC38" s="756">
        <v>13325.7</v>
      </c>
      <c r="AD38" s="746">
        <v>29.37</v>
      </c>
      <c r="AE38" s="747">
        <v>18962</v>
      </c>
      <c r="AF38" s="747">
        <v>17891</v>
      </c>
      <c r="AG38" s="756">
        <v>7033.1</v>
      </c>
      <c r="AH38" s="746">
        <v>13061.1</v>
      </c>
      <c r="AI38" s="747">
        <v>73996</v>
      </c>
      <c r="AJ38" s="747">
        <v>72917</v>
      </c>
      <c r="AK38" s="756">
        <v>511696.14</v>
      </c>
      <c r="AL38" s="746">
        <v>3290</v>
      </c>
      <c r="AM38" s="747">
        <v>15687</v>
      </c>
      <c r="AN38" s="747">
        <v>15195</v>
      </c>
      <c r="AO38" s="756">
        <v>122839</v>
      </c>
      <c r="AP38" s="746">
        <v>31111.31</v>
      </c>
      <c r="AQ38" s="747">
        <v>178244</v>
      </c>
      <c r="AR38" s="747">
        <f aca="true" t="shared" si="4" ref="AR38:AR43">AQ38</f>
        <v>178244</v>
      </c>
      <c r="AS38" s="756">
        <v>4476379.48</v>
      </c>
      <c r="AT38" s="746">
        <v>16923</v>
      </c>
      <c r="AU38" s="747">
        <v>112492</v>
      </c>
      <c r="AV38" s="747">
        <v>110795</v>
      </c>
      <c r="AW38" s="756">
        <v>5478255.2</v>
      </c>
      <c r="AX38" s="746">
        <v>9.28</v>
      </c>
      <c r="AY38" s="747">
        <v>5181</v>
      </c>
      <c r="AZ38" s="747">
        <v>5160</v>
      </c>
      <c r="BA38" s="756">
        <v>1107.48</v>
      </c>
      <c r="BB38" s="746">
        <v>7851.21</v>
      </c>
      <c r="BC38" s="747">
        <v>45641</v>
      </c>
      <c r="BD38" s="747">
        <f aca="true" t="shared" si="5" ref="BD38:BD43">BC38</f>
        <v>45641</v>
      </c>
      <c r="BE38" s="756">
        <v>112791.03</v>
      </c>
      <c r="BF38" s="746">
        <v>10008.34</v>
      </c>
      <c r="BG38" s="747">
        <v>5017</v>
      </c>
      <c r="BH38" s="747">
        <v>41671</v>
      </c>
      <c r="BI38" s="756">
        <v>969595.21</v>
      </c>
      <c r="BJ38" s="746">
        <v>121.73</v>
      </c>
      <c r="BK38" s="747">
        <v>77804</v>
      </c>
      <c r="BL38" s="747">
        <v>74015</v>
      </c>
      <c r="BM38" s="756">
        <v>42951.76</v>
      </c>
      <c r="BN38" s="746">
        <v>5602</v>
      </c>
      <c r="BO38" s="747">
        <v>23346</v>
      </c>
      <c r="BP38" s="747">
        <v>22373</v>
      </c>
      <c r="BQ38" s="756">
        <v>504977</v>
      </c>
      <c r="BR38" s="746">
        <v>12440</v>
      </c>
      <c r="BS38" s="747">
        <v>66035</v>
      </c>
      <c r="BT38" s="747">
        <v>64039</v>
      </c>
      <c r="BU38" s="756">
        <v>216774</v>
      </c>
      <c r="BV38" s="746"/>
      <c r="BW38" s="747"/>
      <c r="BX38" s="747"/>
      <c r="BY38" s="756"/>
      <c r="BZ38" s="746">
        <v>506</v>
      </c>
      <c r="CA38" s="747">
        <v>308300</v>
      </c>
      <c r="CB38" s="747">
        <f aca="true" t="shared" si="6" ref="CB38:CB43">CA38</f>
        <v>308300</v>
      </c>
      <c r="CC38" s="756">
        <v>24228</v>
      </c>
      <c r="CD38" s="746">
        <v>10163</v>
      </c>
      <c r="CE38" s="747">
        <v>60226</v>
      </c>
      <c r="CF38" s="747">
        <v>58852</v>
      </c>
      <c r="CG38" s="756">
        <v>103388</v>
      </c>
      <c r="CH38" s="746">
        <v>1456.6</v>
      </c>
      <c r="CI38" s="747">
        <v>6528</v>
      </c>
      <c r="CJ38" s="747">
        <f aca="true" t="shared" si="7" ref="CJ38:CJ43">CI38</f>
        <v>6528</v>
      </c>
      <c r="CK38" s="756">
        <v>44843.06</v>
      </c>
      <c r="CL38" s="746">
        <v>15299</v>
      </c>
      <c r="CM38" s="747">
        <v>85676</v>
      </c>
      <c r="CN38" s="747">
        <v>81036</v>
      </c>
      <c r="CO38" s="756">
        <v>3884337</v>
      </c>
      <c r="CP38" s="746">
        <v>654257.18</v>
      </c>
      <c r="CQ38" s="747">
        <v>5001437</v>
      </c>
      <c r="CR38" s="747">
        <v>4380214</v>
      </c>
      <c r="CS38" s="756">
        <v>14219272.65</v>
      </c>
    </row>
    <row r="39" spans="1:97" ht="16.5">
      <c r="A39" s="1104" t="s">
        <v>254</v>
      </c>
      <c r="B39" s="753">
        <v>14473</v>
      </c>
      <c r="C39" s="747">
        <v>37424</v>
      </c>
      <c r="D39" s="747">
        <f t="shared" si="3"/>
        <v>37424</v>
      </c>
      <c r="E39" s="748">
        <v>523376</v>
      </c>
      <c r="F39" s="755">
        <v>1052</v>
      </c>
      <c r="G39" s="747">
        <v>2766</v>
      </c>
      <c r="H39" s="747">
        <v>2129</v>
      </c>
      <c r="I39" s="756">
        <v>120413</v>
      </c>
      <c r="J39" s="746">
        <v>1764</v>
      </c>
      <c r="K39" s="747">
        <v>4784</v>
      </c>
      <c r="L39" s="747">
        <v>4768</v>
      </c>
      <c r="M39" s="756">
        <v>47502</v>
      </c>
      <c r="N39" s="746">
        <v>19407</v>
      </c>
      <c r="O39" s="747">
        <v>42186</v>
      </c>
      <c r="P39" s="747">
        <v>35762</v>
      </c>
      <c r="Q39" s="778">
        <v>243975</v>
      </c>
      <c r="R39" s="755">
        <v>119.46</v>
      </c>
      <c r="S39" s="747">
        <v>31411</v>
      </c>
      <c r="T39" s="747">
        <v>32553</v>
      </c>
      <c r="U39" s="756">
        <v>1873.82</v>
      </c>
      <c r="V39" s="746">
        <v>12102.5</v>
      </c>
      <c r="W39" s="747">
        <v>29020</v>
      </c>
      <c r="X39" s="747">
        <v>28261</v>
      </c>
      <c r="Y39" s="756">
        <v>137915.6</v>
      </c>
      <c r="Z39" s="746">
        <v>7107.34</v>
      </c>
      <c r="AA39" s="747">
        <v>18769</v>
      </c>
      <c r="AB39" s="747">
        <v>18562</v>
      </c>
      <c r="AC39" s="756">
        <v>50140.87</v>
      </c>
      <c r="AD39" s="746">
        <v>47.71</v>
      </c>
      <c r="AE39" s="747">
        <v>13999</v>
      </c>
      <c r="AF39" s="747">
        <v>13183</v>
      </c>
      <c r="AG39" s="756">
        <v>2543.4</v>
      </c>
      <c r="AH39" s="746">
        <v>11724.57</v>
      </c>
      <c r="AI39" s="747">
        <v>33241</v>
      </c>
      <c r="AJ39" s="747">
        <v>32794</v>
      </c>
      <c r="AK39" s="756">
        <v>236147.62</v>
      </c>
      <c r="AL39" s="746">
        <v>5410</v>
      </c>
      <c r="AM39" s="747">
        <v>14890</v>
      </c>
      <c r="AN39" s="747">
        <v>14092</v>
      </c>
      <c r="AO39" s="756">
        <v>130158</v>
      </c>
      <c r="AP39" s="746">
        <v>73208.24</v>
      </c>
      <c r="AQ39" s="747">
        <v>188575</v>
      </c>
      <c r="AR39" s="747">
        <f t="shared" si="4"/>
        <v>188575</v>
      </c>
      <c r="AS39" s="756">
        <v>2487122.35</v>
      </c>
      <c r="AT39" s="746">
        <v>51423.3</v>
      </c>
      <c r="AU39" s="747">
        <v>121663</v>
      </c>
      <c r="AV39" s="747">
        <v>119566</v>
      </c>
      <c r="AW39" s="756">
        <v>3483189.6</v>
      </c>
      <c r="AX39" s="746">
        <v>44.78</v>
      </c>
      <c r="AY39" s="747">
        <v>13390</v>
      </c>
      <c r="AZ39" s="747">
        <v>11450</v>
      </c>
      <c r="BA39" s="756">
        <v>710.19</v>
      </c>
      <c r="BB39" s="746">
        <v>11889.07</v>
      </c>
      <c r="BC39" s="747">
        <v>29582</v>
      </c>
      <c r="BD39" s="747">
        <f t="shared" si="5"/>
        <v>29582</v>
      </c>
      <c r="BE39" s="756">
        <v>99561.63</v>
      </c>
      <c r="BF39" s="746">
        <v>24626.03</v>
      </c>
      <c r="BG39" s="747">
        <v>-918</v>
      </c>
      <c r="BH39" s="747">
        <v>68133</v>
      </c>
      <c r="BI39" s="756">
        <v>707105.7</v>
      </c>
      <c r="BJ39" s="746">
        <v>443.44</v>
      </c>
      <c r="BK39" s="747">
        <v>112926</v>
      </c>
      <c r="BL39" s="747">
        <v>106509</v>
      </c>
      <c r="BM39" s="756">
        <v>19852.1</v>
      </c>
      <c r="BN39" s="746">
        <v>17762</v>
      </c>
      <c r="BO39" s="747">
        <v>38604</v>
      </c>
      <c r="BP39" s="747">
        <v>36125</v>
      </c>
      <c r="BQ39" s="756">
        <v>417159</v>
      </c>
      <c r="BR39" s="746">
        <v>18098</v>
      </c>
      <c r="BS39" s="747">
        <v>51984</v>
      </c>
      <c r="BT39" s="747">
        <v>49114</v>
      </c>
      <c r="BU39" s="756">
        <v>259940</v>
      </c>
      <c r="BV39" s="746"/>
      <c r="BW39" s="747"/>
      <c r="BX39" s="747"/>
      <c r="BY39" s="756"/>
      <c r="BZ39" s="746">
        <v>1610</v>
      </c>
      <c r="CA39" s="747">
        <v>381300</v>
      </c>
      <c r="CB39" s="747">
        <f t="shared" si="6"/>
        <v>381300</v>
      </c>
      <c r="CC39" s="756">
        <v>23648</v>
      </c>
      <c r="CD39" s="746">
        <v>7440</v>
      </c>
      <c r="CE39" s="747">
        <v>20625</v>
      </c>
      <c r="CF39" s="747">
        <v>19709</v>
      </c>
      <c r="CG39" s="756">
        <v>70686</v>
      </c>
      <c r="CH39" s="746">
        <v>7367.04</v>
      </c>
      <c r="CI39" s="747">
        <v>18822</v>
      </c>
      <c r="CJ39" s="747">
        <f t="shared" si="7"/>
        <v>18822</v>
      </c>
      <c r="CK39" s="756">
        <v>91635.27</v>
      </c>
      <c r="CL39" s="746">
        <v>28683</v>
      </c>
      <c r="CM39" s="747">
        <v>76594</v>
      </c>
      <c r="CN39" s="747">
        <v>72116</v>
      </c>
      <c r="CO39" s="756">
        <v>3209887</v>
      </c>
      <c r="CP39" s="746">
        <v>417453.08</v>
      </c>
      <c r="CQ39" s="747">
        <v>1400016</v>
      </c>
      <c r="CR39" s="747">
        <v>1248403</v>
      </c>
      <c r="CS39" s="756">
        <v>8742354.54</v>
      </c>
    </row>
    <row r="40" spans="1:97" ht="16.5">
      <c r="A40" s="1104" t="s">
        <v>255</v>
      </c>
      <c r="B40" s="753">
        <v>10978</v>
      </c>
      <c r="C40" s="747">
        <v>17933</v>
      </c>
      <c r="D40" s="747">
        <f t="shared" si="3"/>
        <v>17933</v>
      </c>
      <c r="E40" s="748">
        <v>313493</v>
      </c>
      <c r="F40" s="755">
        <v>358</v>
      </c>
      <c r="G40" s="747">
        <v>573</v>
      </c>
      <c r="H40" s="747">
        <v>443</v>
      </c>
      <c r="I40" s="756">
        <v>28587</v>
      </c>
      <c r="J40" s="746">
        <v>632</v>
      </c>
      <c r="K40" s="747">
        <v>1140</v>
      </c>
      <c r="L40" s="747">
        <v>1132</v>
      </c>
      <c r="M40" s="737">
        <v>15365</v>
      </c>
      <c r="N40" s="746">
        <v>11922</v>
      </c>
      <c r="O40" s="747">
        <v>19461</v>
      </c>
      <c r="P40" s="747">
        <v>15347</v>
      </c>
      <c r="Q40" s="778">
        <v>163617</v>
      </c>
      <c r="R40" s="755">
        <v>51.11</v>
      </c>
      <c r="S40" s="747">
        <v>8480</v>
      </c>
      <c r="T40" s="747">
        <v>8516</v>
      </c>
      <c r="U40" s="756">
        <v>731.79</v>
      </c>
      <c r="V40" s="746">
        <v>2707.5</v>
      </c>
      <c r="W40" s="747">
        <v>4537</v>
      </c>
      <c r="X40" s="747">
        <v>4375</v>
      </c>
      <c r="Y40" s="756">
        <v>28731.6</v>
      </c>
      <c r="Z40" s="746">
        <v>2829.11</v>
      </c>
      <c r="AA40" s="747">
        <v>4173</v>
      </c>
      <c r="AB40" s="747">
        <v>4143</v>
      </c>
      <c r="AC40" s="756">
        <v>29197.49</v>
      </c>
      <c r="AD40" s="746">
        <v>26.7</v>
      </c>
      <c r="AE40" s="747">
        <v>4674</v>
      </c>
      <c r="AF40" s="747">
        <v>4357</v>
      </c>
      <c r="AG40" s="756">
        <v>711.1</v>
      </c>
      <c r="AH40" s="746">
        <v>5083.76</v>
      </c>
      <c r="AI40" s="747">
        <v>8486</v>
      </c>
      <c r="AJ40" s="747">
        <v>8371</v>
      </c>
      <c r="AK40" s="756">
        <v>86527.76</v>
      </c>
      <c r="AL40" s="746">
        <v>2644</v>
      </c>
      <c r="AM40" s="747">
        <v>4468</v>
      </c>
      <c r="AN40" s="747">
        <v>4116</v>
      </c>
      <c r="AO40" s="756">
        <v>48049</v>
      </c>
      <c r="AP40" s="746">
        <v>22207.25</v>
      </c>
      <c r="AQ40" s="747">
        <v>39036</v>
      </c>
      <c r="AR40" s="747">
        <f t="shared" si="4"/>
        <v>39036</v>
      </c>
      <c r="AS40" s="756">
        <v>766593.81</v>
      </c>
      <c r="AT40" s="746">
        <v>30051.9</v>
      </c>
      <c r="AU40" s="747">
        <v>44663</v>
      </c>
      <c r="AV40" s="747">
        <v>44070</v>
      </c>
      <c r="AW40" s="756">
        <v>1492318.3</v>
      </c>
      <c r="AX40" s="746">
        <v>29.07</v>
      </c>
      <c r="AY40" s="747">
        <v>5612</v>
      </c>
      <c r="AZ40" s="747">
        <v>5444</v>
      </c>
      <c r="BA40" s="756">
        <v>366.36</v>
      </c>
      <c r="BB40" s="746">
        <v>2896.61</v>
      </c>
      <c r="BC40" s="747">
        <v>5014</v>
      </c>
      <c r="BD40" s="747">
        <f t="shared" si="5"/>
        <v>5014</v>
      </c>
      <c r="BE40" s="756">
        <v>23369.37</v>
      </c>
      <c r="BF40" s="746">
        <v>12296.18</v>
      </c>
      <c r="BG40" s="747">
        <v>21928</v>
      </c>
      <c r="BH40" s="747">
        <v>22435</v>
      </c>
      <c r="BI40" s="756">
        <v>267091.37</v>
      </c>
      <c r="BJ40" s="746">
        <v>325.89</v>
      </c>
      <c r="BK40" s="747">
        <v>59221</v>
      </c>
      <c r="BL40" s="747">
        <v>56070</v>
      </c>
      <c r="BM40" s="756">
        <v>9076.75</v>
      </c>
      <c r="BN40" s="746">
        <v>10225</v>
      </c>
      <c r="BO40" s="747">
        <v>19296</v>
      </c>
      <c r="BP40" s="747">
        <v>17954</v>
      </c>
      <c r="BQ40" s="756">
        <v>177223</v>
      </c>
      <c r="BR40" s="746">
        <v>5072</v>
      </c>
      <c r="BS40" s="747">
        <v>8794</v>
      </c>
      <c r="BT40" s="747">
        <v>8375</v>
      </c>
      <c r="BU40" s="756">
        <v>67970</v>
      </c>
      <c r="BV40" s="746"/>
      <c r="BW40" s="747"/>
      <c r="BX40" s="747"/>
      <c r="BY40" s="756"/>
      <c r="BZ40" s="746">
        <v>453</v>
      </c>
      <c r="CA40" s="747">
        <v>86555</v>
      </c>
      <c r="CB40" s="747">
        <f t="shared" si="6"/>
        <v>86555</v>
      </c>
      <c r="CC40" s="756">
        <v>6367</v>
      </c>
      <c r="CD40" s="746">
        <v>2726</v>
      </c>
      <c r="CE40" s="747">
        <v>4765</v>
      </c>
      <c r="CF40" s="747">
        <v>4518</v>
      </c>
      <c r="CG40" s="756">
        <v>25307</v>
      </c>
      <c r="CH40" s="746">
        <v>2260.07</v>
      </c>
      <c r="CI40" s="747">
        <v>4011</v>
      </c>
      <c r="CJ40" s="747">
        <f t="shared" si="7"/>
        <v>4011</v>
      </c>
      <c r="CK40" s="756">
        <v>25803.17</v>
      </c>
      <c r="CL40" s="746">
        <v>12933</v>
      </c>
      <c r="CM40" s="747">
        <v>21597</v>
      </c>
      <c r="CN40" s="747">
        <v>20294</v>
      </c>
      <c r="CO40" s="756">
        <v>1312440</v>
      </c>
      <c r="CP40" s="746">
        <v>176577.18</v>
      </c>
      <c r="CQ40" s="747">
        <v>340509</v>
      </c>
      <c r="CR40" s="747">
        <v>304624</v>
      </c>
      <c r="CS40" s="756">
        <v>3694252.4</v>
      </c>
    </row>
    <row r="41" spans="1:97" ht="16.5">
      <c r="A41" s="1104" t="s">
        <v>256</v>
      </c>
      <c r="B41" s="753">
        <v>6911</v>
      </c>
      <c r="C41" s="747">
        <v>6622</v>
      </c>
      <c r="D41" s="747">
        <f t="shared" si="3"/>
        <v>6622</v>
      </c>
      <c r="E41" s="748">
        <v>161255</v>
      </c>
      <c r="F41" s="755">
        <v>626</v>
      </c>
      <c r="G41" s="747">
        <v>656</v>
      </c>
      <c r="H41" s="747">
        <v>523</v>
      </c>
      <c r="I41" s="756">
        <v>13523</v>
      </c>
      <c r="J41" s="746">
        <v>1318</v>
      </c>
      <c r="K41" s="747">
        <v>1353</v>
      </c>
      <c r="L41" s="747">
        <v>1352</v>
      </c>
      <c r="M41" s="756">
        <v>24326</v>
      </c>
      <c r="N41" s="746">
        <v>13973</v>
      </c>
      <c r="O41" s="747">
        <v>13650</v>
      </c>
      <c r="P41" s="747">
        <v>10185</v>
      </c>
      <c r="Q41" s="778">
        <v>150695</v>
      </c>
      <c r="R41" s="755">
        <v>62.12</v>
      </c>
      <c r="S41" s="747">
        <v>6597</v>
      </c>
      <c r="T41" s="747">
        <v>6664</v>
      </c>
      <c r="U41" s="756">
        <v>739.59</v>
      </c>
      <c r="V41" s="746">
        <v>11015.6</v>
      </c>
      <c r="W41" s="747">
        <v>11230</v>
      </c>
      <c r="X41" s="747">
        <v>10833</v>
      </c>
      <c r="Y41" s="756">
        <v>82593.2</v>
      </c>
      <c r="Z41" s="746">
        <v>560.68</v>
      </c>
      <c r="AA41" s="747">
        <v>588</v>
      </c>
      <c r="AB41" s="747">
        <v>561</v>
      </c>
      <c r="AC41" s="756">
        <v>5816.04</v>
      </c>
      <c r="AD41" s="746">
        <v>28.57</v>
      </c>
      <c r="AE41" s="747">
        <v>3051</v>
      </c>
      <c r="AF41" s="747">
        <v>2778</v>
      </c>
      <c r="AG41" s="756">
        <v>518.9</v>
      </c>
      <c r="AH41" s="746">
        <v>4745.93</v>
      </c>
      <c r="AI41" s="747">
        <v>4997</v>
      </c>
      <c r="AJ41" s="747">
        <v>4891</v>
      </c>
      <c r="AK41" s="756">
        <v>61644.66</v>
      </c>
      <c r="AL41" s="746">
        <v>2294</v>
      </c>
      <c r="AM41" s="747">
        <v>2398</v>
      </c>
      <c r="AN41" s="747">
        <v>2191</v>
      </c>
      <c r="AO41" s="756">
        <v>36581</v>
      </c>
      <c r="AP41" s="746">
        <v>52365.85</v>
      </c>
      <c r="AQ41" s="747">
        <v>55199</v>
      </c>
      <c r="AR41" s="747">
        <f t="shared" si="4"/>
        <v>55199</v>
      </c>
      <c r="AS41" s="756">
        <v>718850.93</v>
      </c>
      <c r="AT41" s="746">
        <v>50780.7</v>
      </c>
      <c r="AU41" s="747">
        <v>51436</v>
      </c>
      <c r="AV41" s="747">
        <v>50715</v>
      </c>
      <c r="AW41" s="756">
        <v>1124498.3</v>
      </c>
      <c r="AX41" s="746">
        <v>20.56</v>
      </c>
      <c r="AY41" s="747">
        <v>2152</v>
      </c>
      <c r="AZ41" s="747">
        <v>2078</v>
      </c>
      <c r="BA41" s="756">
        <v>255.27</v>
      </c>
      <c r="BB41" s="746">
        <v>10957.87</v>
      </c>
      <c r="BC41" s="747">
        <v>11317</v>
      </c>
      <c r="BD41" s="747">
        <f t="shared" si="5"/>
        <v>11317</v>
      </c>
      <c r="BE41" s="756">
        <v>83249.14</v>
      </c>
      <c r="BF41" s="746">
        <v>11396.34</v>
      </c>
      <c r="BG41" s="747">
        <v>12044</v>
      </c>
      <c r="BH41" s="747">
        <v>1190</v>
      </c>
      <c r="BI41" s="756">
        <v>191481.37</v>
      </c>
      <c r="BJ41" s="746">
        <v>426.97</v>
      </c>
      <c r="BK41" s="747">
        <v>43634</v>
      </c>
      <c r="BL41" s="747">
        <v>41078</v>
      </c>
      <c r="BM41" s="756">
        <v>6425.57</v>
      </c>
      <c r="BN41" s="746">
        <v>17836</v>
      </c>
      <c r="BO41" s="747">
        <v>17333</v>
      </c>
      <c r="BP41" s="747">
        <v>15290</v>
      </c>
      <c r="BQ41" s="756">
        <v>194983</v>
      </c>
      <c r="BR41" s="746">
        <v>7276</v>
      </c>
      <c r="BS41" s="747">
        <v>7788</v>
      </c>
      <c r="BT41" s="747">
        <v>7166</v>
      </c>
      <c r="BU41" s="756">
        <v>90561</v>
      </c>
      <c r="BV41" s="746"/>
      <c r="BW41" s="747"/>
      <c r="BX41" s="747"/>
      <c r="BY41" s="756"/>
      <c r="BZ41" s="746">
        <v>1027</v>
      </c>
      <c r="CA41" s="747">
        <v>105310</v>
      </c>
      <c r="CB41" s="747">
        <f t="shared" si="6"/>
        <v>105310</v>
      </c>
      <c r="CC41" s="756">
        <v>8848</v>
      </c>
      <c r="CD41" s="746">
        <v>3384</v>
      </c>
      <c r="CE41" s="747">
        <v>3548</v>
      </c>
      <c r="CF41" s="747">
        <v>3153</v>
      </c>
      <c r="CG41" s="756">
        <v>31051</v>
      </c>
      <c r="CH41" s="746">
        <v>13632.58</v>
      </c>
      <c r="CI41" s="747">
        <v>13698</v>
      </c>
      <c r="CJ41" s="747">
        <f t="shared" si="7"/>
        <v>13698</v>
      </c>
      <c r="CK41" s="756">
        <v>135828.74</v>
      </c>
      <c r="CL41" s="746">
        <v>21081</v>
      </c>
      <c r="CM41" s="747">
        <v>22275</v>
      </c>
      <c r="CN41" s="747">
        <v>20728</v>
      </c>
      <c r="CO41" s="756">
        <v>833151</v>
      </c>
      <c r="CP41" s="746">
        <v>98001.4</v>
      </c>
      <c r="CQ41" s="747">
        <v>128029</v>
      </c>
      <c r="CR41" s="747">
        <v>115844</v>
      </c>
      <c r="CS41" s="756">
        <v>1782540.16</v>
      </c>
    </row>
    <row r="42" spans="1:97" ht="16.5">
      <c r="A42" s="1104" t="s">
        <v>257</v>
      </c>
      <c r="B42" s="753">
        <v>12187</v>
      </c>
      <c r="C42" s="747">
        <v>10480</v>
      </c>
      <c r="D42" s="747">
        <f t="shared" si="3"/>
        <v>10480</v>
      </c>
      <c r="E42" s="748">
        <v>223260</v>
      </c>
      <c r="F42" s="755">
        <v>181</v>
      </c>
      <c r="G42" s="747">
        <v>158</v>
      </c>
      <c r="H42" s="747">
        <v>125</v>
      </c>
      <c r="I42" s="756">
        <v>11160</v>
      </c>
      <c r="J42" s="746">
        <v>252</v>
      </c>
      <c r="K42" s="747">
        <v>243</v>
      </c>
      <c r="L42" s="747">
        <v>242</v>
      </c>
      <c r="M42" s="756">
        <v>5126</v>
      </c>
      <c r="N42" s="746">
        <v>7674</v>
      </c>
      <c r="O42" s="747">
        <v>6941</v>
      </c>
      <c r="P42" s="747">
        <v>5390</v>
      </c>
      <c r="Q42" s="778">
        <v>108452</v>
      </c>
      <c r="R42" s="755">
        <v>23.51</v>
      </c>
      <c r="S42" s="747">
        <v>2047</v>
      </c>
      <c r="T42" s="747">
        <v>2051</v>
      </c>
      <c r="U42" s="756">
        <v>353.06</v>
      </c>
      <c r="V42" s="746">
        <v>1781.7</v>
      </c>
      <c r="W42" s="747">
        <v>1648</v>
      </c>
      <c r="X42" s="747">
        <v>1583</v>
      </c>
      <c r="Y42" s="756">
        <v>13924.2</v>
      </c>
      <c r="Z42" s="746">
        <v>213.02</v>
      </c>
      <c r="AA42" s="747">
        <v>175</v>
      </c>
      <c r="AB42" s="747">
        <v>168</v>
      </c>
      <c r="AC42" s="756">
        <v>2254.05</v>
      </c>
      <c r="AD42" s="746">
        <v>16.95</v>
      </c>
      <c r="AE42" s="747">
        <v>1608</v>
      </c>
      <c r="AF42" s="747">
        <v>1468</v>
      </c>
      <c r="AG42" s="756">
        <v>317.6</v>
      </c>
      <c r="AH42" s="746">
        <v>2575.45</v>
      </c>
      <c r="AI42" s="747">
        <v>2242</v>
      </c>
      <c r="AJ42" s="747">
        <v>2205</v>
      </c>
      <c r="AK42" s="756">
        <v>31348.85</v>
      </c>
      <c r="AL42" s="746">
        <v>1247</v>
      </c>
      <c r="AM42" s="747">
        <v>1157</v>
      </c>
      <c r="AN42" s="747">
        <v>1043</v>
      </c>
      <c r="AO42" s="756">
        <v>16629</v>
      </c>
      <c r="AP42" s="746">
        <v>10433.39</v>
      </c>
      <c r="AQ42" s="747">
        <v>9614</v>
      </c>
      <c r="AR42" s="747">
        <f t="shared" si="4"/>
        <v>9614</v>
      </c>
      <c r="AS42" s="756">
        <v>263709.35</v>
      </c>
      <c r="AT42" s="746">
        <v>18472.6</v>
      </c>
      <c r="AU42" s="747">
        <v>16580</v>
      </c>
      <c r="AV42" s="747">
        <v>16449</v>
      </c>
      <c r="AW42" s="756">
        <v>564501.4</v>
      </c>
      <c r="AX42" s="746">
        <v>24.07</v>
      </c>
      <c r="AY42" s="747">
        <v>2399</v>
      </c>
      <c r="AZ42" s="747">
        <v>2356</v>
      </c>
      <c r="BA42" s="756">
        <v>275.39</v>
      </c>
      <c r="BB42" s="746">
        <v>3368.36</v>
      </c>
      <c r="BC42" s="747">
        <v>3166</v>
      </c>
      <c r="BD42" s="747">
        <f t="shared" si="5"/>
        <v>3166</v>
      </c>
      <c r="BE42" s="756">
        <v>21748.57</v>
      </c>
      <c r="BF42" s="746">
        <v>8261.39</v>
      </c>
      <c r="BG42" s="747">
        <v>7768</v>
      </c>
      <c r="BH42" s="747">
        <v>8325</v>
      </c>
      <c r="BI42" s="756">
        <v>146788.71</v>
      </c>
      <c r="BJ42" s="746">
        <v>204.06</v>
      </c>
      <c r="BK42" s="747">
        <v>20152</v>
      </c>
      <c r="BL42" s="747">
        <v>19020</v>
      </c>
      <c r="BM42" s="756">
        <v>4089.79</v>
      </c>
      <c r="BN42" s="746">
        <v>4463</v>
      </c>
      <c r="BO42" s="747">
        <v>7299</v>
      </c>
      <c r="BP42" s="747">
        <v>5557</v>
      </c>
      <c r="BQ42" s="756">
        <v>84858</v>
      </c>
      <c r="BR42" s="746">
        <v>2313</v>
      </c>
      <c r="BS42" s="747">
        <v>2083</v>
      </c>
      <c r="BT42" s="747">
        <v>1898</v>
      </c>
      <c r="BU42" s="756">
        <v>28201</v>
      </c>
      <c r="BV42" s="746"/>
      <c r="BW42" s="747"/>
      <c r="BX42" s="747"/>
      <c r="BY42" s="756"/>
      <c r="BZ42" s="746">
        <v>300</v>
      </c>
      <c r="CA42" s="747">
        <v>30277</v>
      </c>
      <c r="CB42" s="747">
        <f t="shared" si="6"/>
        <v>30277</v>
      </c>
      <c r="CC42" s="756">
        <v>3278</v>
      </c>
      <c r="CD42" s="746">
        <v>1440</v>
      </c>
      <c r="CE42" s="747">
        <v>1334</v>
      </c>
      <c r="CF42" s="747">
        <v>1257</v>
      </c>
      <c r="CG42" s="756">
        <v>12978</v>
      </c>
      <c r="CH42" s="746">
        <v>929.85</v>
      </c>
      <c r="CI42" s="747">
        <v>836</v>
      </c>
      <c r="CJ42" s="747">
        <f t="shared" si="7"/>
        <v>836</v>
      </c>
      <c r="CK42" s="756">
        <v>11138.54</v>
      </c>
      <c r="CL42" s="746">
        <v>7155</v>
      </c>
      <c r="CM42" s="747">
        <v>6537</v>
      </c>
      <c r="CN42" s="747">
        <v>6292</v>
      </c>
      <c r="CO42" s="756">
        <v>467105</v>
      </c>
      <c r="CP42" s="746">
        <v>75645.96</v>
      </c>
      <c r="CQ42" s="747">
        <v>74415</v>
      </c>
      <c r="CR42" s="747">
        <v>68061</v>
      </c>
      <c r="CS42" s="756">
        <v>1355832.34</v>
      </c>
    </row>
    <row r="43" spans="1:97" ht="16.5">
      <c r="A43" s="1104" t="s">
        <v>258</v>
      </c>
      <c r="B43" s="753">
        <v>49295</v>
      </c>
      <c r="C43" s="747">
        <v>13178</v>
      </c>
      <c r="D43" s="747">
        <f t="shared" si="3"/>
        <v>13178</v>
      </c>
      <c r="E43" s="748">
        <v>837043</v>
      </c>
      <c r="F43" s="755">
        <v>1291</v>
      </c>
      <c r="G43" s="747">
        <v>482</v>
      </c>
      <c r="H43" s="747">
        <v>388</v>
      </c>
      <c r="I43" s="756">
        <v>24036</v>
      </c>
      <c r="J43" s="746">
        <v>3132</v>
      </c>
      <c r="K43" s="747">
        <v>1029</v>
      </c>
      <c r="L43" s="747">
        <v>1024</v>
      </c>
      <c r="M43" s="756">
        <v>52892</v>
      </c>
      <c r="N43" s="746">
        <v>53037</v>
      </c>
      <c r="O43" s="747">
        <v>16057</v>
      </c>
      <c r="P43" s="747">
        <v>11069</v>
      </c>
      <c r="Q43" s="778">
        <v>581382</v>
      </c>
      <c r="R43" s="755">
        <v>91.37</v>
      </c>
      <c r="S43" s="747">
        <v>2718</v>
      </c>
      <c r="T43" s="747">
        <v>2754</v>
      </c>
      <c r="U43" s="756">
        <v>861.16</v>
      </c>
      <c r="V43" s="746">
        <v>34052.4</v>
      </c>
      <c r="W43" s="747">
        <v>11235</v>
      </c>
      <c r="X43" s="747">
        <v>10732</v>
      </c>
      <c r="Y43" s="756">
        <v>313010.7</v>
      </c>
      <c r="Z43" s="746">
        <v>309.68</v>
      </c>
      <c r="AA43" s="747">
        <v>184</v>
      </c>
      <c r="AB43" s="747">
        <v>171</v>
      </c>
      <c r="AC43" s="756">
        <v>2406.25</v>
      </c>
      <c r="AD43" s="746">
        <v>64.49</v>
      </c>
      <c r="AE43" s="747">
        <v>2524</v>
      </c>
      <c r="AF43" s="747">
        <v>2236</v>
      </c>
      <c r="AG43" s="756">
        <v>1049.7</v>
      </c>
      <c r="AH43" s="746">
        <v>6988.97</v>
      </c>
      <c r="AI43" s="747">
        <v>3028</v>
      </c>
      <c r="AJ43" s="747">
        <v>2866</v>
      </c>
      <c r="AK43" s="756">
        <v>92791.8</v>
      </c>
      <c r="AL43" s="746">
        <v>8469</v>
      </c>
      <c r="AM43" s="747">
        <v>2389</v>
      </c>
      <c r="AN43" s="747">
        <v>2045</v>
      </c>
      <c r="AO43" s="756">
        <v>87919</v>
      </c>
      <c r="AP43" s="746">
        <v>112001.32</v>
      </c>
      <c r="AQ43" s="747">
        <v>34409</v>
      </c>
      <c r="AR43" s="747">
        <f t="shared" si="4"/>
        <v>34409</v>
      </c>
      <c r="AS43" s="756">
        <v>1665076.34</v>
      </c>
      <c r="AT43" s="746">
        <v>315426.6</v>
      </c>
      <c r="AU43" s="747">
        <v>96407</v>
      </c>
      <c r="AV43" s="747">
        <v>93124</v>
      </c>
      <c r="AW43" s="756">
        <v>4332196</v>
      </c>
      <c r="AX43" s="746">
        <v>68.77</v>
      </c>
      <c r="AY43" s="747">
        <v>2388</v>
      </c>
      <c r="AZ43" s="747">
        <v>2334</v>
      </c>
      <c r="BA43" s="756">
        <v>792.5</v>
      </c>
      <c r="BB43" s="746">
        <v>17434.02</v>
      </c>
      <c r="BC43" s="747">
        <v>6388</v>
      </c>
      <c r="BD43" s="747">
        <f t="shared" si="5"/>
        <v>6388</v>
      </c>
      <c r="BE43" s="756">
        <v>128406.34</v>
      </c>
      <c r="BF43" s="746">
        <v>32208.04</v>
      </c>
      <c r="BG43" s="747">
        <v>12010</v>
      </c>
      <c r="BH43" s="747">
        <v>11621</v>
      </c>
      <c r="BI43" s="756">
        <v>505494.07</v>
      </c>
      <c r="BJ43" s="746">
        <v>1013.25</v>
      </c>
      <c r="BK43" s="747">
        <v>36808</v>
      </c>
      <c r="BL43" s="747">
        <v>33779</v>
      </c>
      <c r="BM43" s="756">
        <v>14712.94</v>
      </c>
      <c r="BN43" s="746">
        <v>33906</v>
      </c>
      <c r="BO43" s="747">
        <v>24567</v>
      </c>
      <c r="BP43" s="747">
        <v>17256</v>
      </c>
      <c r="BQ43" s="756">
        <v>615929</v>
      </c>
      <c r="BR43" s="746">
        <v>18085</v>
      </c>
      <c r="BS43" s="747">
        <v>6997</v>
      </c>
      <c r="BT43" s="747">
        <v>6076</v>
      </c>
      <c r="BU43" s="756">
        <v>181681</v>
      </c>
      <c r="BV43" s="746"/>
      <c r="BW43" s="747"/>
      <c r="BX43" s="747"/>
      <c r="BY43" s="756"/>
      <c r="BZ43" s="746">
        <v>3210</v>
      </c>
      <c r="CA43" s="747">
        <v>123084</v>
      </c>
      <c r="CB43" s="747">
        <f t="shared" si="6"/>
        <v>123084</v>
      </c>
      <c r="CC43" s="756">
        <v>26260</v>
      </c>
      <c r="CD43" s="746">
        <v>3339</v>
      </c>
      <c r="CE43" s="747">
        <v>1475</v>
      </c>
      <c r="CF43" s="747">
        <v>1284</v>
      </c>
      <c r="CG43" s="756">
        <v>29508</v>
      </c>
      <c r="CH43" s="746">
        <v>13439.87</v>
      </c>
      <c r="CI43" s="747">
        <v>5699</v>
      </c>
      <c r="CJ43" s="747">
        <f t="shared" si="7"/>
        <v>5699</v>
      </c>
      <c r="CK43" s="756">
        <v>141100.19</v>
      </c>
      <c r="CL43" s="746">
        <v>89817</v>
      </c>
      <c r="CM43" s="747">
        <v>29266</v>
      </c>
      <c r="CN43" s="747">
        <v>26601</v>
      </c>
      <c r="CO43" s="756">
        <v>2747836</v>
      </c>
      <c r="CP43" s="746">
        <v>169996.04</v>
      </c>
      <c r="CQ43" s="747">
        <v>75198</v>
      </c>
      <c r="CR43" s="747">
        <v>65254</v>
      </c>
      <c r="CS43" s="756">
        <v>2980610.54</v>
      </c>
    </row>
    <row r="44" spans="1:97" ht="16.5">
      <c r="A44" s="1103" t="s">
        <v>270</v>
      </c>
      <c r="B44" s="746"/>
      <c r="C44" s="747"/>
      <c r="D44" s="747"/>
      <c r="E44" s="748"/>
      <c r="F44" s="755"/>
      <c r="G44" s="747"/>
      <c r="H44" s="747"/>
      <c r="I44" s="756"/>
      <c r="J44" s="746"/>
      <c r="K44" s="747"/>
      <c r="L44" s="747"/>
      <c r="M44" s="756"/>
      <c r="N44" s="746"/>
      <c r="O44" s="747"/>
      <c r="P44" s="747"/>
      <c r="Q44" s="778"/>
      <c r="R44" s="755"/>
      <c r="S44" s="747"/>
      <c r="T44" s="747"/>
      <c r="U44" s="756"/>
      <c r="V44" s="746"/>
      <c r="W44" s="747"/>
      <c r="X44" s="747"/>
      <c r="Y44" s="756"/>
      <c r="Z44" s="746"/>
      <c r="AA44" s="747"/>
      <c r="AB44" s="747"/>
      <c r="AC44" s="756"/>
      <c r="AD44" s="746"/>
      <c r="AE44" s="747"/>
      <c r="AF44" s="747"/>
      <c r="AG44" s="756"/>
      <c r="AH44" s="746"/>
      <c r="AI44" s="747"/>
      <c r="AJ44" s="747"/>
      <c r="AK44" s="756"/>
      <c r="AL44" s="746"/>
      <c r="AM44" s="747"/>
      <c r="AN44" s="747"/>
      <c r="AO44" s="756"/>
      <c r="AP44" s="746"/>
      <c r="AQ44" s="747"/>
      <c r="AR44" s="747"/>
      <c r="AS44" s="756"/>
      <c r="AT44" s="746"/>
      <c r="AU44" s="747"/>
      <c r="AV44" s="747"/>
      <c r="AW44" s="756"/>
      <c r="AX44" s="746"/>
      <c r="AY44" s="747"/>
      <c r="AZ44" s="747"/>
      <c r="BA44" s="756"/>
      <c r="BB44" s="746"/>
      <c r="BC44" s="747"/>
      <c r="BD44" s="747"/>
      <c r="BE44" s="756"/>
      <c r="BF44" s="746"/>
      <c r="BG44" s="747"/>
      <c r="BH44" s="747"/>
      <c r="BI44" s="756"/>
      <c r="BJ44" s="746"/>
      <c r="BK44" s="747"/>
      <c r="BL44" s="747"/>
      <c r="BM44" s="756"/>
      <c r="BN44" s="746"/>
      <c r="BO44" s="747"/>
      <c r="BP44" s="747"/>
      <c r="BQ44" s="756"/>
      <c r="BR44" s="746"/>
      <c r="BS44" s="747"/>
      <c r="BT44" s="747"/>
      <c r="BU44" s="756"/>
      <c r="BV44" s="746"/>
      <c r="BW44" s="747"/>
      <c r="BX44" s="747"/>
      <c r="BY44" s="756"/>
      <c r="BZ44" s="746"/>
      <c r="CA44" s="747"/>
      <c r="CB44" s="747"/>
      <c r="CC44" s="756"/>
      <c r="CD44" s="746"/>
      <c r="CE44" s="747"/>
      <c r="CF44" s="747"/>
      <c r="CG44" s="756"/>
      <c r="CH44" s="746"/>
      <c r="CI44" s="747"/>
      <c r="CJ44" s="747"/>
      <c r="CK44" s="756"/>
      <c r="CL44" s="746"/>
      <c r="CM44" s="747"/>
      <c r="CN44" s="747"/>
      <c r="CO44" s="756"/>
      <c r="CP44" s="746"/>
      <c r="CQ44" s="747"/>
      <c r="CR44" s="747"/>
      <c r="CS44" s="756"/>
    </row>
    <row r="45" spans="1:97" ht="16.5">
      <c r="A45" s="1104" t="s">
        <v>260</v>
      </c>
      <c r="B45" s="757"/>
      <c r="C45" s="747"/>
      <c r="D45" s="758"/>
      <c r="E45" s="748"/>
      <c r="F45" s="755"/>
      <c r="G45" s="747"/>
      <c r="H45" s="747"/>
      <c r="I45" s="756"/>
      <c r="J45" s="746"/>
      <c r="K45" s="747"/>
      <c r="L45" s="747"/>
      <c r="M45" s="756"/>
      <c r="N45" s="746"/>
      <c r="O45" s="747"/>
      <c r="P45" s="747"/>
      <c r="Q45" s="778"/>
      <c r="R45" s="755"/>
      <c r="S45" s="747"/>
      <c r="T45" s="747"/>
      <c r="U45" s="756"/>
      <c r="V45" s="746"/>
      <c r="W45" s="747"/>
      <c r="X45" s="747"/>
      <c r="Y45" s="756"/>
      <c r="Z45" s="746"/>
      <c r="AA45" s="747"/>
      <c r="AB45" s="747"/>
      <c r="AC45" s="756"/>
      <c r="AD45" s="746"/>
      <c r="AE45" s="747"/>
      <c r="AF45" s="747"/>
      <c r="AG45" s="756"/>
      <c r="AH45" s="746">
        <v>28.14</v>
      </c>
      <c r="AI45" s="747">
        <v>26</v>
      </c>
      <c r="AJ45" s="747">
        <v>26</v>
      </c>
      <c r="AK45" s="756"/>
      <c r="AL45" s="746"/>
      <c r="AM45" s="747"/>
      <c r="AN45" s="747"/>
      <c r="AO45" s="756"/>
      <c r="AP45" s="746"/>
      <c r="AQ45" s="747"/>
      <c r="AR45" s="747"/>
      <c r="AS45" s="756"/>
      <c r="AT45" s="746"/>
      <c r="AU45" s="747"/>
      <c r="AV45" s="747"/>
      <c r="AW45" s="756"/>
      <c r="AX45" s="746"/>
      <c r="AY45" s="747"/>
      <c r="AZ45" s="747"/>
      <c r="BA45" s="756"/>
      <c r="BB45" s="746"/>
      <c r="BC45" s="747"/>
      <c r="BD45" s="747"/>
      <c r="BE45" s="756"/>
      <c r="BF45" s="746">
        <v>26.64</v>
      </c>
      <c r="BG45" s="747">
        <v>74</v>
      </c>
      <c r="BH45" s="747">
        <f>BG45</f>
        <v>74</v>
      </c>
      <c r="BI45" s="756">
        <v>287.93</v>
      </c>
      <c r="BJ45" s="746">
        <v>0.52</v>
      </c>
      <c r="BK45" s="747">
        <v>136</v>
      </c>
      <c r="BL45" s="747">
        <f>BK45</f>
        <v>136</v>
      </c>
      <c r="BM45" s="756">
        <v>1.08</v>
      </c>
      <c r="BN45" s="746">
        <v>32</v>
      </c>
      <c r="BO45" s="747">
        <v>120</v>
      </c>
      <c r="BP45" s="747">
        <v>102</v>
      </c>
      <c r="BQ45" s="756">
        <v>1610</v>
      </c>
      <c r="BR45" s="746"/>
      <c r="BS45" s="747"/>
      <c r="BT45" s="747"/>
      <c r="BU45" s="756"/>
      <c r="BV45" s="746"/>
      <c r="BW45" s="747"/>
      <c r="BX45" s="747"/>
      <c r="BY45" s="756"/>
      <c r="BZ45" s="746"/>
      <c r="CA45" s="747"/>
      <c r="CB45" s="747"/>
      <c r="CC45" s="756"/>
      <c r="CD45" s="746"/>
      <c r="CE45" s="747"/>
      <c r="CF45" s="747"/>
      <c r="CG45" s="756"/>
      <c r="CH45" s="746"/>
      <c r="CI45" s="747"/>
      <c r="CJ45" s="747"/>
      <c r="CK45" s="756"/>
      <c r="CL45" s="746"/>
      <c r="CM45" s="747"/>
      <c r="CN45" s="747"/>
      <c r="CO45" s="756"/>
      <c r="CP45" s="746">
        <v>776.02</v>
      </c>
      <c r="CQ45" s="747">
        <v>4587</v>
      </c>
      <c r="CR45" s="747">
        <v>3962</v>
      </c>
      <c r="CS45" s="756">
        <v>17211.15</v>
      </c>
    </row>
    <row r="46" spans="1:97" ht="16.5">
      <c r="A46" s="1104" t="s">
        <v>261</v>
      </c>
      <c r="B46" s="757"/>
      <c r="C46" s="747"/>
      <c r="D46" s="758"/>
      <c r="E46" s="748"/>
      <c r="F46" s="755"/>
      <c r="G46" s="747"/>
      <c r="H46" s="747"/>
      <c r="I46" s="756"/>
      <c r="J46" s="746"/>
      <c r="K46" s="747"/>
      <c r="L46" s="747"/>
      <c r="M46" s="756"/>
      <c r="N46" s="746"/>
      <c r="O46" s="747"/>
      <c r="P46" s="747"/>
      <c r="Q46" s="778"/>
      <c r="R46" s="755"/>
      <c r="S46" s="747"/>
      <c r="T46" s="747"/>
      <c r="U46" s="756"/>
      <c r="V46" s="746"/>
      <c r="W46" s="747"/>
      <c r="X46" s="747"/>
      <c r="Y46" s="756"/>
      <c r="Z46" s="746"/>
      <c r="AA46" s="747"/>
      <c r="AB46" s="747"/>
      <c r="AC46" s="756"/>
      <c r="AD46" s="746"/>
      <c r="AE46" s="747"/>
      <c r="AF46" s="747"/>
      <c r="AG46" s="756"/>
      <c r="AH46" s="746">
        <v>90.05</v>
      </c>
      <c r="AI46" s="747">
        <v>90</v>
      </c>
      <c r="AJ46" s="747">
        <v>88</v>
      </c>
      <c r="AK46" s="756"/>
      <c r="AL46" s="746"/>
      <c r="AM46" s="747"/>
      <c r="AN46" s="747"/>
      <c r="AO46" s="756"/>
      <c r="AP46" s="746"/>
      <c r="AQ46" s="747"/>
      <c r="AR46" s="747"/>
      <c r="AS46" s="756"/>
      <c r="AT46" s="746"/>
      <c r="AU46" s="747"/>
      <c r="AV46" s="747"/>
      <c r="AW46" s="756"/>
      <c r="AX46" s="746"/>
      <c r="AY46" s="747"/>
      <c r="AZ46" s="747"/>
      <c r="BA46" s="756"/>
      <c r="BB46" s="746"/>
      <c r="BC46" s="747"/>
      <c r="BD46" s="747"/>
      <c r="BE46" s="756"/>
      <c r="BF46" s="746">
        <v>62.5</v>
      </c>
      <c r="BG46" s="747">
        <v>83</v>
      </c>
      <c r="BH46" s="747">
        <v>78</v>
      </c>
      <c r="BI46" s="756">
        <v>771.66</v>
      </c>
      <c r="BJ46" s="746">
        <v>5.54</v>
      </c>
      <c r="BK46" s="747">
        <v>643</v>
      </c>
      <c r="BL46" s="747">
        <f>BK46</f>
        <v>643</v>
      </c>
      <c r="BM46" s="756">
        <v>11.15</v>
      </c>
      <c r="BN46" s="746">
        <v>117</v>
      </c>
      <c r="BO46" s="747">
        <v>111</v>
      </c>
      <c r="BP46" s="747">
        <v>101</v>
      </c>
      <c r="BQ46" s="756">
        <v>828</v>
      </c>
      <c r="BR46" s="746"/>
      <c r="BS46" s="747"/>
      <c r="BT46" s="747"/>
      <c r="BU46" s="756"/>
      <c r="BV46" s="746"/>
      <c r="BW46" s="747"/>
      <c r="BX46" s="747"/>
      <c r="BY46" s="756"/>
      <c r="BZ46" s="746"/>
      <c r="CA46" s="747"/>
      <c r="CB46" s="747"/>
      <c r="CC46" s="756"/>
      <c r="CD46" s="746"/>
      <c r="CE46" s="747"/>
      <c r="CF46" s="747"/>
      <c r="CG46" s="756"/>
      <c r="CH46" s="746"/>
      <c r="CI46" s="747"/>
      <c r="CJ46" s="747"/>
      <c r="CK46" s="756"/>
      <c r="CL46" s="746"/>
      <c r="CM46" s="747"/>
      <c r="CN46" s="747"/>
      <c r="CO46" s="756"/>
      <c r="CP46" s="746">
        <v>370.9</v>
      </c>
      <c r="CQ46" s="747">
        <v>630</v>
      </c>
      <c r="CR46" s="747">
        <v>572</v>
      </c>
      <c r="CS46" s="756">
        <v>7801.75</v>
      </c>
    </row>
    <row r="47" spans="1:97" ht="16.5">
      <c r="A47" s="1104" t="s">
        <v>262</v>
      </c>
      <c r="B47" s="757"/>
      <c r="C47" s="747"/>
      <c r="D47" s="758"/>
      <c r="E47" s="748"/>
      <c r="F47" s="755"/>
      <c r="G47" s="747"/>
      <c r="H47" s="747"/>
      <c r="I47" s="756"/>
      <c r="J47" s="746"/>
      <c r="K47" s="747"/>
      <c r="L47" s="747"/>
      <c r="M47" s="756"/>
      <c r="N47" s="746"/>
      <c r="O47" s="747"/>
      <c r="P47" s="747"/>
      <c r="Q47" s="778"/>
      <c r="R47" s="755"/>
      <c r="S47" s="747"/>
      <c r="T47" s="747"/>
      <c r="U47" s="756"/>
      <c r="V47" s="746"/>
      <c r="W47" s="747"/>
      <c r="X47" s="747"/>
      <c r="Y47" s="756"/>
      <c r="Z47" s="746"/>
      <c r="AA47" s="747"/>
      <c r="AB47" s="747"/>
      <c r="AC47" s="756"/>
      <c r="AD47" s="746"/>
      <c r="AE47" s="747"/>
      <c r="AF47" s="747"/>
      <c r="AG47" s="756"/>
      <c r="AH47" s="746">
        <v>61.08</v>
      </c>
      <c r="AI47" s="747">
        <v>46</v>
      </c>
      <c r="AJ47" s="747">
        <v>45</v>
      </c>
      <c r="AK47" s="756"/>
      <c r="AL47" s="746"/>
      <c r="AM47" s="747"/>
      <c r="AN47" s="747"/>
      <c r="AO47" s="756"/>
      <c r="AP47" s="746"/>
      <c r="AQ47" s="747"/>
      <c r="AR47" s="747"/>
      <c r="AS47" s="756"/>
      <c r="AT47" s="746"/>
      <c r="AU47" s="747"/>
      <c r="AV47" s="747"/>
      <c r="AW47" s="756"/>
      <c r="AX47" s="746"/>
      <c r="AY47" s="747"/>
      <c r="AZ47" s="747"/>
      <c r="BA47" s="756"/>
      <c r="BB47" s="746"/>
      <c r="BC47" s="747"/>
      <c r="BD47" s="747"/>
      <c r="BE47" s="756"/>
      <c r="BF47" s="746">
        <v>56.88</v>
      </c>
      <c r="BG47" s="747">
        <v>51</v>
      </c>
      <c r="BH47" s="747">
        <f>BG47</f>
        <v>51</v>
      </c>
      <c r="BI47" s="756">
        <v>762.58</v>
      </c>
      <c r="BJ47" s="746">
        <v>2.37</v>
      </c>
      <c r="BK47" s="747">
        <v>185</v>
      </c>
      <c r="BL47" s="747">
        <f>BK47</f>
        <v>185</v>
      </c>
      <c r="BM47" s="756">
        <v>4.87</v>
      </c>
      <c r="BN47" s="746">
        <v>61</v>
      </c>
      <c r="BO47" s="747">
        <v>37</v>
      </c>
      <c r="BP47" s="747">
        <v>32</v>
      </c>
      <c r="BQ47" s="756">
        <v>309</v>
      </c>
      <c r="BR47" s="746"/>
      <c r="BS47" s="747"/>
      <c r="BT47" s="747"/>
      <c r="BU47" s="756"/>
      <c r="BV47" s="746"/>
      <c r="BW47" s="747"/>
      <c r="BX47" s="747"/>
      <c r="BY47" s="756"/>
      <c r="BZ47" s="746"/>
      <c r="CA47" s="747"/>
      <c r="CB47" s="747"/>
      <c r="CC47" s="756"/>
      <c r="CD47" s="746"/>
      <c r="CE47" s="747"/>
      <c r="CF47" s="747"/>
      <c r="CG47" s="756"/>
      <c r="CH47" s="746"/>
      <c r="CI47" s="747"/>
      <c r="CJ47" s="747"/>
      <c r="CK47" s="756"/>
      <c r="CL47" s="746"/>
      <c r="CM47" s="747"/>
      <c r="CN47" s="747"/>
      <c r="CO47" s="756"/>
      <c r="CP47" s="746">
        <v>144.93</v>
      </c>
      <c r="CQ47" s="747">
        <v>140</v>
      </c>
      <c r="CR47" s="747">
        <v>124</v>
      </c>
      <c r="CS47" s="756">
        <v>2433.1</v>
      </c>
    </row>
    <row r="48" spans="1:97" ht="16.5">
      <c r="A48" s="1104" t="s">
        <v>263</v>
      </c>
      <c r="B48" s="757"/>
      <c r="C48" s="747"/>
      <c r="D48" s="758"/>
      <c r="E48" s="748"/>
      <c r="F48" s="755"/>
      <c r="G48" s="747"/>
      <c r="H48" s="747"/>
      <c r="I48" s="756"/>
      <c r="J48" s="746"/>
      <c r="K48" s="747"/>
      <c r="L48" s="747"/>
      <c r="M48" s="756"/>
      <c r="N48" s="746"/>
      <c r="O48" s="747"/>
      <c r="P48" s="747"/>
      <c r="Q48" s="778"/>
      <c r="R48" s="755"/>
      <c r="S48" s="747"/>
      <c r="T48" s="747"/>
      <c r="U48" s="756"/>
      <c r="V48" s="746"/>
      <c r="W48" s="747"/>
      <c r="X48" s="747"/>
      <c r="Y48" s="756"/>
      <c r="Z48" s="746"/>
      <c r="AA48" s="747"/>
      <c r="AB48" s="747"/>
      <c r="AC48" s="756"/>
      <c r="AD48" s="746"/>
      <c r="AE48" s="747"/>
      <c r="AF48" s="747"/>
      <c r="AG48" s="756"/>
      <c r="AH48" s="746">
        <v>46.8</v>
      </c>
      <c r="AI48" s="747">
        <v>24</v>
      </c>
      <c r="AJ48" s="747">
        <v>23</v>
      </c>
      <c r="AK48" s="756"/>
      <c r="AL48" s="746"/>
      <c r="AM48" s="747"/>
      <c r="AN48" s="747"/>
      <c r="AO48" s="756"/>
      <c r="AP48" s="746"/>
      <c r="AQ48" s="747"/>
      <c r="AR48" s="747"/>
      <c r="AS48" s="756"/>
      <c r="AT48" s="746"/>
      <c r="AU48" s="747"/>
      <c r="AV48" s="747"/>
      <c r="AW48" s="756"/>
      <c r="AX48" s="746"/>
      <c r="AY48" s="747"/>
      <c r="AZ48" s="747"/>
      <c r="BA48" s="756"/>
      <c r="BB48" s="746"/>
      <c r="BC48" s="747"/>
      <c r="BD48" s="747"/>
      <c r="BE48" s="756"/>
      <c r="BF48" s="746">
        <v>23.79</v>
      </c>
      <c r="BG48" s="747">
        <v>13</v>
      </c>
      <c r="BH48" s="747">
        <f>BG48</f>
        <v>13</v>
      </c>
      <c r="BI48" s="756">
        <v>337.72</v>
      </c>
      <c r="BJ48" s="746">
        <v>4.21</v>
      </c>
      <c r="BK48" s="747">
        <v>212</v>
      </c>
      <c r="BL48" s="747">
        <v>206</v>
      </c>
      <c r="BM48" s="756">
        <v>8.39</v>
      </c>
      <c r="BN48" s="746">
        <v>91</v>
      </c>
      <c r="BO48" s="747">
        <v>36</v>
      </c>
      <c r="BP48" s="747">
        <v>31</v>
      </c>
      <c r="BQ48" s="756">
        <v>456</v>
      </c>
      <c r="BR48" s="746"/>
      <c r="BS48" s="747"/>
      <c r="BT48" s="747"/>
      <c r="BU48" s="756"/>
      <c r="BV48" s="746"/>
      <c r="BW48" s="747"/>
      <c r="BX48" s="747"/>
      <c r="BY48" s="756"/>
      <c r="BZ48" s="746"/>
      <c r="CA48" s="747"/>
      <c r="CB48" s="747"/>
      <c r="CC48" s="756"/>
      <c r="CD48" s="746"/>
      <c r="CE48" s="747"/>
      <c r="CF48" s="747"/>
      <c r="CG48" s="756"/>
      <c r="CH48" s="746"/>
      <c r="CI48" s="747"/>
      <c r="CJ48" s="747"/>
      <c r="CK48" s="756"/>
      <c r="CL48" s="746"/>
      <c r="CM48" s="747"/>
      <c r="CN48" s="747"/>
      <c r="CO48" s="756"/>
      <c r="CP48" s="746">
        <v>50.46</v>
      </c>
      <c r="CQ48" s="747">
        <v>33</v>
      </c>
      <c r="CR48" s="747">
        <v>30</v>
      </c>
      <c r="CS48" s="756">
        <v>670.3</v>
      </c>
    </row>
    <row r="49" spans="1:97" ht="16.5">
      <c r="A49" s="1104" t="s">
        <v>264</v>
      </c>
      <c r="B49" s="757"/>
      <c r="C49" s="747"/>
      <c r="D49" s="758"/>
      <c r="E49" s="748"/>
      <c r="F49" s="755"/>
      <c r="G49" s="747"/>
      <c r="H49" s="747"/>
      <c r="I49" s="756"/>
      <c r="J49" s="746"/>
      <c r="K49" s="747"/>
      <c r="L49" s="747"/>
      <c r="M49" s="756"/>
      <c r="N49" s="746"/>
      <c r="O49" s="747"/>
      <c r="P49" s="747"/>
      <c r="Q49" s="778"/>
      <c r="R49" s="755"/>
      <c r="S49" s="747"/>
      <c r="T49" s="747"/>
      <c r="U49" s="756"/>
      <c r="V49" s="746"/>
      <c r="W49" s="747"/>
      <c r="X49" s="747"/>
      <c r="Y49" s="756"/>
      <c r="Z49" s="746"/>
      <c r="AA49" s="747"/>
      <c r="AB49" s="747"/>
      <c r="AC49" s="756"/>
      <c r="AD49" s="746"/>
      <c r="AE49" s="747"/>
      <c r="AF49" s="747"/>
      <c r="AG49" s="756"/>
      <c r="AH49" s="746">
        <v>24.79</v>
      </c>
      <c r="AI49" s="747">
        <v>11</v>
      </c>
      <c r="AJ49" s="747">
        <v>11</v>
      </c>
      <c r="AK49" s="756"/>
      <c r="AL49" s="746"/>
      <c r="AM49" s="747"/>
      <c r="AN49" s="747"/>
      <c r="AO49" s="756"/>
      <c r="AP49" s="746"/>
      <c r="AQ49" s="747"/>
      <c r="AR49" s="747"/>
      <c r="AS49" s="756"/>
      <c r="AT49" s="746"/>
      <c r="AU49" s="747"/>
      <c r="AV49" s="747"/>
      <c r="AW49" s="756"/>
      <c r="AX49" s="746"/>
      <c r="AY49" s="747"/>
      <c r="AZ49" s="747"/>
      <c r="BA49" s="756"/>
      <c r="BB49" s="746"/>
      <c r="BC49" s="747"/>
      <c r="BD49" s="747"/>
      <c r="BE49" s="756"/>
      <c r="BF49" s="746">
        <v>32.45</v>
      </c>
      <c r="BG49" s="747">
        <v>15</v>
      </c>
      <c r="BH49" s="747">
        <f>BG49</f>
        <v>15</v>
      </c>
      <c r="BI49" s="756">
        <v>414.76</v>
      </c>
      <c r="BJ49" s="746">
        <v>1.48</v>
      </c>
      <c r="BK49" s="747">
        <v>66</v>
      </c>
      <c r="BL49" s="747">
        <f>BK49</f>
        <v>66</v>
      </c>
      <c r="BM49" s="756">
        <v>3.21</v>
      </c>
      <c r="BN49" s="746">
        <v>32</v>
      </c>
      <c r="BO49" s="747">
        <v>20</v>
      </c>
      <c r="BP49" s="747">
        <v>18</v>
      </c>
      <c r="BQ49" s="756">
        <v>285</v>
      </c>
      <c r="BR49" s="746"/>
      <c r="BS49" s="747"/>
      <c r="BT49" s="747"/>
      <c r="BU49" s="756"/>
      <c r="BV49" s="746"/>
      <c r="BW49" s="747"/>
      <c r="BX49" s="747"/>
      <c r="BY49" s="756"/>
      <c r="BZ49" s="746"/>
      <c r="CA49" s="747"/>
      <c r="CB49" s="747"/>
      <c r="CC49" s="756"/>
      <c r="CD49" s="746"/>
      <c r="CE49" s="747"/>
      <c r="CF49" s="747"/>
      <c r="CG49" s="756"/>
      <c r="CH49" s="746"/>
      <c r="CI49" s="747"/>
      <c r="CJ49" s="747"/>
      <c r="CK49" s="756"/>
      <c r="CL49" s="746"/>
      <c r="CM49" s="747"/>
      <c r="CN49" s="747"/>
      <c r="CO49" s="756"/>
      <c r="CP49" s="746">
        <v>30.15</v>
      </c>
      <c r="CQ49" s="747">
        <v>14</v>
      </c>
      <c r="CR49" s="747">
        <v>14</v>
      </c>
      <c r="CS49" s="756">
        <v>302.25</v>
      </c>
    </row>
    <row r="50" spans="1:97" ht="16.5">
      <c r="A50" s="1104" t="s">
        <v>265</v>
      </c>
      <c r="B50" s="757"/>
      <c r="C50" s="747"/>
      <c r="D50" s="758"/>
      <c r="E50" s="748"/>
      <c r="F50" s="755"/>
      <c r="G50" s="747"/>
      <c r="H50" s="747"/>
      <c r="I50" s="756"/>
      <c r="J50" s="746"/>
      <c r="K50" s="747"/>
      <c r="L50" s="747"/>
      <c r="M50" s="756"/>
      <c r="N50" s="746"/>
      <c r="O50" s="747"/>
      <c r="P50" s="747"/>
      <c r="Q50" s="778"/>
      <c r="R50" s="755"/>
      <c r="S50" s="747"/>
      <c r="T50" s="747"/>
      <c r="U50" s="756"/>
      <c r="V50" s="746"/>
      <c r="W50" s="747"/>
      <c r="X50" s="747"/>
      <c r="Y50" s="756"/>
      <c r="Z50" s="746"/>
      <c r="AA50" s="747"/>
      <c r="AB50" s="747"/>
      <c r="AC50" s="756"/>
      <c r="AD50" s="746"/>
      <c r="AE50" s="747"/>
      <c r="AF50" s="747"/>
      <c r="AG50" s="756"/>
      <c r="AH50" s="746">
        <v>29.91</v>
      </c>
      <c r="AI50" s="747">
        <v>11</v>
      </c>
      <c r="AJ50" s="747">
        <v>10</v>
      </c>
      <c r="AK50" s="756"/>
      <c r="AL50" s="746"/>
      <c r="AM50" s="747"/>
      <c r="AN50" s="747"/>
      <c r="AO50" s="756"/>
      <c r="AP50" s="746"/>
      <c r="AQ50" s="747"/>
      <c r="AR50" s="747"/>
      <c r="AS50" s="756"/>
      <c r="AT50" s="746"/>
      <c r="AU50" s="747"/>
      <c r="AV50" s="747"/>
      <c r="AW50" s="756"/>
      <c r="AX50" s="746"/>
      <c r="AY50" s="747"/>
      <c r="AZ50" s="747"/>
      <c r="BA50" s="756"/>
      <c r="BB50" s="746"/>
      <c r="BC50" s="747"/>
      <c r="BD50" s="747"/>
      <c r="BE50" s="756"/>
      <c r="BF50" s="746">
        <v>20.75</v>
      </c>
      <c r="BG50" s="747">
        <v>8</v>
      </c>
      <c r="BH50" s="747">
        <v>7</v>
      </c>
      <c r="BI50" s="756">
        <v>302.03</v>
      </c>
      <c r="BJ50" s="746">
        <v>2.83</v>
      </c>
      <c r="BK50" s="747">
        <v>97</v>
      </c>
      <c r="BL50" s="747">
        <v>94</v>
      </c>
      <c r="BM50" s="756">
        <v>5.76</v>
      </c>
      <c r="BN50" s="746">
        <v>37</v>
      </c>
      <c r="BO50" s="747">
        <v>7</v>
      </c>
      <c r="BP50" s="747">
        <v>7</v>
      </c>
      <c r="BQ50" s="756">
        <v>192</v>
      </c>
      <c r="BR50" s="746"/>
      <c r="BS50" s="747"/>
      <c r="BT50" s="747"/>
      <c r="BU50" s="756"/>
      <c r="BV50" s="746"/>
      <c r="BW50" s="747"/>
      <c r="BX50" s="747"/>
      <c r="BY50" s="756"/>
      <c r="BZ50" s="746"/>
      <c r="CA50" s="747"/>
      <c r="CB50" s="747"/>
      <c r="CC50" s="756"/>
      <c r="CD50" s="746">
        <v>27</v>
      </c>
      <c r="CE50" s="747">
        <v>9</v>
      </c>
      <c r="CF50" s="747">
        <v>8</v>
      </c>
      <c r="CG50" s="756"/>
      <c r="CH50" s="746"/>
      <c r="CI50" s="747"/>
      <c r="CJ50" s="747"/>
      <c r="CK50" s="756"/>
      <c r="CL50" s="746"/>
      <c r="CM50" s="747"/>
      <c r="CN50" s="747"/>
      <c r="CO50" s="756"/>
      <c r="CP50" s="746">
        <v>19.47</v>
      </c>
      <c r="CQ50" s="747">
        <v>7</v>
      </c>
      <c r="CR50" s="747">
        <v>6</v>
      </c>
      <c r="CS50" s="756">
        <v>312.65</v>
      </c>
    </row>
    <row r="51" spans="1:97" ht="16.5">
      <c r="A51" s="1104" t="s">
        <v>266</v>
      </c>
      <c r="B51" s="757"/>
      <c r="C51" s="747"/>
      <c r="D51" s="758"/>
      <c r="E51" s="748"/>
      <c r="F51" s="755"/>
      <c r="G51" s="747"/>
      <c r="H51" s="747"/>
      <c r="I51" s="756"/>
      <c r="J51" s="746"/>
      <c r="K51" s="747"/>
      <c r="L51" s="747"/>
      <c r="M51" s="756"/>
      <c r="N51" s="746"/>
      <c r="O51" s="747"/>
      <c r="P51" s="747"/>
      <c r="Q51" s="778"/>
      <c r="R51" s="755"/>
      <c r="S51" s="747"/>
      <c r="T51" s="747"/>
      <c r="U51" s="756"/>
      <c r="V51" s="746"/>
      <c r="W51" s="747"/>
      <c r="X51" s="747"/>
      <c r="Y51" s="756"/>
      <c r="Z51" s="746"/>
      <c r="AA51" s="747"/>
      <c r="AB51" s="747"/>
      <c r="AC51" s="756"/>
      <c r="AD51" s="746"/>
      <c r="AE51" s="747"/>
      <c r="AF51" s="747"/>
      <c r="AG51" s="756"/>
      <c r="AH51" s="746">
        <v>73.88</v>
      </c>
      <c r="AI51" s="747">
        <v>12</v>
      </c>
      <c r="AJ51" s="747">
        <v>12</v>
      </c>
      <c r="AK51" s="756"/>
      <c r="AL51" s="746"/>
      <c r="AM51" s="747"/>
      <c r="AN51" s="747"/>
      <c r="AO51" s="756"/>
      <c r="AP51" s="746"/>
      <c r="AQ51" s="747"/>
      <c r="AR51" s="747"/>
      <c r="AS51" s="756"/>
      <c r="AT51" s="746"/>
      <c r="AU51" s="747"/>
      <c r="AV51" s="747"/>
      <c r="AW51" s="756"/>
      <c r="AX51" s="746"/>
      <c r="AY51" s="747"/>
      <c r="AZ51" s="747"/>
      <c r="BA51" s="756"/>
      <c r="BB51" s="746"/>
      <c r="BC51" s="747"/>
      <c r="BD51" s="747"/>
      <c r="BE51" s="756"/>
      <c r="BF51" s="746">
        <v>101.79</v>
      </c>
      <c r="BG51" s="747">
        <v>18</v>
      </c>
      <c r="BH51" s="747">
        <f>BG51</f>
        <v>18</v>
      </c>
      <c r="BI51" s="756">
        <v>1126.67</v>
      </c>
      <c r="BJ51" s="746">
        <v>18.63</v>
      </c>
      <c r="BK51" s="747">
        <v>280</v>
      </c>
      <c r="BL51" s="747">
        <v>273</v>
      </c>
      <c r="BM51" s="756">
        <v>36.67</v>
      </c>
      <c r="BN51" s="746">
        <v>452</v>
      </c>
      <c r="BO51" s="747">
        <v>81</v>
      </c>
      <c r="BP51" s="747">
        <v>56</v>
      </c>
      <c r="BQ51" s="756">
        <v>3084</v>
      </c>
      <c r="BR51" s="746"/>
      <c r="BS51" s="747"/>
      <c r="BT51" s="747"/>
      <c r="BU51" s="756"/>
      <c r="BV51" s="746"/>
      <c r="BW51" s="747"/>
      <c r="BX51" s="747"/>
      <c r="BY51" s="756"/>
      <c r="BZ51" s="746"/>
      <c r="CA51" s="747"/>
      <c r="CB51" s="747"/>
      <c r="CC51" s="756"/>
      <c r="CD51" s="746">
        <v>91</v>
      </c>
      <c r="CE51" s="747">
        <v>16</v>
      </c>
      <c r="CF51" s="747">
        <v>14</v>
      </c>
      <c r="CG51" s="756"/>
      <c r="CH51" s="746"/>
      <c r="CI51" s="747"/>
      <c r="CJ51" s="747"/>
      <c r="CK51" s="756"/>
      <c r="CL51" s="746"/>
      <c r="CM51" s="747"/>
      <c r="CN51" s="747"/>
      <c r="CO51" s="756"/>
      <c r="CP51" s="746">
        <v>95.5</v>
      </c>
      <c r="CQ51" s="747">
        <v>19</v>
      </c>
      <c r="CR51" s="747">
        <v>16</v>
      </c>
      <c r="CS51" s="756">
        <v>927.5</v>
      </c>
    </row>
    <row r="52" spans="1:97" ht="16.5">
      <c r="A52" s="1103" t="s">
        <v>271</v>
      </c>
      <c r="B52" s="746"/>
      <c r="C52" s="747"/>
      <c r="D52" s="747"/>
      <c r="E52" s="748"/>
      <c r="F52" s="755"/>
      <c r="G52" s="747"/>
      <c r="H52" s="747"/>
      <c r="I52" s="756"/>
      <c r="J52" s="746"/>
      <c r="K52" s="747"/>
      <c r="L52" s="747"/>
      <c r="M52" s="756"/>
      <c r="N52" s="746"/>
      <c r="O52" s="747"/>
      <c r="P52" s="747"/>
      <c r="Q52" s="778"/>
      <c r="R52" s="755"/>
      <c r="S52" s="747"/>
      <c r="T52" s="747"/>
      <c r="U52" s="756"/>
      <c r="V52" s="746"/>
      <c r="W52" s="747"/>
      <c r="X52" s="747"/>
      <c r="Y52" s="756"/>
      <c r="Z52" s="746"/>
      <c r="AA52" s="747"/>
      <c r="AB52" s="747"/>
      <c r="AC52" s="756"/>
      <c r="AD52" s="746"/>
      <c r="AE52" s="747"/>
      <c r="AF52" s="747"/>
      <c r="AG52" s="756"/>
      <c r="AH52" s="746"/>
      <c r="AI52" s="747"/>
      <c r="AJ52" s="747"/>
      <c r="AK52" s="756"/>
      <c r="AL52" s="746"/>
      <c r="AM52" s="747"/>
      <c r="AN52" s="747"/>
      <c r="AO52" s="756"/>
      <c r="AP52" s="746"/>
      <c r="AQ52" s="747"/>
      <c r="AR52" s="747"/>
      <c r="AS52" s="756"/>
      <c r="AT52" s="746"/>
      <c r="AU52" s="747"/>
      <c r="AV52" s="747"/>
      <c r="AW52" s="756"/>
      <c r="AX52" s="746"/>
      <c r="AY52" s="747"/>
      <c r="AZ52" s="747"/>
      <c r="BA52" s="756"/>
      <c r="BB52" s="746"/>
      <c r="BC52" s="747"/>
      <c r="BD52" s="747"/>
      <c r="BE52" s="756"/>
      <c r="BF52" s="746"/>
      <c r="BG52" s="747"/>
      <c r="BH52" s="747"/>
      <c r="BI52" s="756"/>
      <c r="BJ52" s="746"/>
      <c r="BK52" s="747"/>
      <c r="BL52" s="747"/>
      <c r="BM52" s="756"/>
      <c r="BN52" s="746"/>
      <c r="BO52" s="747"/>
      <c r="BP52" s="747"/>
      <c r="BQ52" s="756"/>
      <c r="BR52" s="746"/>
      <c r="BS52" s="747"/>
      <c r="BT52" s="747"/>
      <c r="BU52" s="756"/>
      <c r="BV52" s="746"/>
      <c r="BW52" s="747"/>
      <c r="BX52" s="747"/>
      <c r="BY52" s="756"/>
      <c r="BZ52" s="746"/>
      <c r="CA52" s="747"/>
      <c r="CB52" s="747"/>
      <c r="CC52" s="756"/>
      <c r="CD52" s="746"/>
      <c r="CE52" s="747"/>
      <c r="CF52" s="747"/>
      <c r="CG52" s="756"/>
      <c r="CH52" s="746"/>
      <c r="CI52" s="747"/>
      <c r="CJ52" s="747"/>
      <c r="CK52" s="756"/>
      <c r="CL52" s="746"/>
      <c r="CM52" s="747"/>
      <c r="CN52" s="747"/>
      <c r="CO52" s="756"/>
      <c r="CP52" s="746"/>
      <c r="CQ52" s="747"/>
      <c r="CR52" s="747"/>
      <c r="CS52" s="756"/>
    </row>
    <row r="53" spans="1:97" ht="16.5">
      <c r="A53" s="1104" t="s">
        <v>252</v>
      </c>
      <c r="B53" s="746">
        <v>89</v>
      </c>
      <c r="C53" s="754">
        <v>2459</v>
      </c>
      <c r="D53" s="758">
        <v>93029</v>
      </c>
      <c r="E53" s="778">
        <v>991069</v>
      </c>
      <c r="F53" s="755"/>
      <c r="G53" s="747"/>
      <c r="H53" s="747"/>
      <c r="I53" s="756"/>
      <c r="J53" s="746">
        <v>-74</v>
      </c>
      <c r="K53" s="747"/>
      <c r="L53" s="747">
        <v>40323</v>
      </c>
      <c r="M53" s="756">
        <v>-618101</v>
      </c>
      <c r="N53" s="746"/>
      <c r="O53" s="747"/>
      <c r="P53" s="747"/>
      <c r="Q53" s="778"/>
      <c r="R53" s="755"/>
      <c r="S53" s="747"/>
      <c r="T53" s="747"/>
      <c r="U53" s="756"/>
      <c r="V53" s="746">
        <v>289.8</v>
      </c>
      <c r="W53" s="747">
        <v>3</v>
      </c>
      <c r="X53" s="747">
        <v>8401</v>
      </c>
      <c r="Y53" s="756">
        <v>142781.3</v>
      </c>
      <c r="Z53" s="746"/>
      <c r="AA53" s="747"/>
      <c r="AB53" s="747"/>
      <c r="AC53" s="756"/>
      <c r="AD53" s="746"/>
      <c r="AE53" s="747"/>
      <c r="AF53" s="747"/>
      <c r="AG53" s="756"/>
      <c r="AH53" s="746"/>
      <c r="AI53" s="747"/>
      <c r="AJ53" s="747"/>
      <c r="AK53" s="756"/>
      <c r="AL53" s="746">
        <v>7</v>
      </c>
      <c r="AM53" s="747"/>
      <c r="AN53" s="747">
        <v>31755</v>
      </c>
      <c r="AO53" s="756">
        <v>33462</v>
      </c>
      <c r="AP53" s="746"/>
      <c r="AQ53" s="747"/>
      <c r="AR53" s="747"/>
      <c r="AS53" s="756"/>
      <c r="AT53" s="746"/>
      <c r="AU53" s="747"/>
      <c r="AV53" s="747"/>
      <c r="AW53" s="756"/>
      <c r="AX53" s="746"/>
      <c r="AY53" s="747"/>
      <c r="AZ53" s="747"/>
      <c r="BA53" s="756"/>
      <c r="BB53" s="746"/>
      <c r="BC53" s="747"/>
      <c r="BD53" s="747"/>
      <c r="BE53" s="756"/>
      <c r="BF53" s="746">
        <v>-192.52</v>
      </c>
      <c r="BG53" s="747">
        <v>227</v>
      </c>
      <c r="BH53" s="747">
        <v>268369</v>
      </c>
      <c r="BI53" s="756">
        <v>-82736.97</v>
      </c>
      <c r="BJ53" s="746"/>
      <c r="BK53" s="747"/>
      <c r="BL53" s="747"/>
      <c r="BM53" s="756"/>
      <c r="BN53" s="746"/>
      <c r="BO53" s="747"/>
      <c r="BP53" s="747"/>
      <c r="BQ53" s="756"/>
      <c r="BR53" s="746">
        <v>-1</v>
      </c>
      <c r="BS53" s="747">
        <v>10</v>
      </c>
      <c r="BT53" s="747">
        <v>-2262</v>
      </c>
      <c r="BU53" s="756">
        <v>-98</v>
      </c>
      <c r="BV53" s="746"/>
      <c r="BW53" s="747"/>
      <c r="BX53" s="747"/>
      <c r="BY53" s="756"/>
      <c r="BZ53" s="746">
        <v>1</v>
      </c>
      <c r="CA53" s="747">
        <v>13</v>
      </c>
      <c r="CB53" s="747">
        <v>18395</v>
      </c>
      <c r="CC53" s="756">
        <v>1137</v>
      </c>
      <c r="CD53" s="746">
        <v>5</v>
      </c>
      <c r="CE53" s="747"/>
      <c r="CF53" s="747">
        <v>2299</v>
      </c>
      <c r="CG53" s="756">
        <v>13117</v>
      </c>
      <c r="CH53" s="746">
        <v>2.27</v>
      </c>
      <c r="CI53" s="747"/>
      <c r="CJ53" s="747">
        <v>704</v>
      </c>
      <c r="CK53" s="756">
        <v>4268.06</v>
      </c>
      <c r="CL53" s="746">
        <v>19</v>
      </c>
      <c r="CM53" s="747">
        <v>2</v>
      </c>
      <c r="CN53" s="747">
        <v>12832</v>
      </c>
      <c r="CO53" s="756">
        <v>6530</v>
      </c>
      <c r="CP53" s="746">
        <v>233.66</v>
      </c>
      <c r="CQ53" s="747">
        <v>11211</v>
      </c>
      <c r="CR53" s="747">
        <v>10395446</v>
      </c>
      <c r="CS53" s="756">
        <v>3077869.11</v>
      </c>
    </row>
    <row r="54" spans="1:97" ht="16.5">
      <c r="A54" s="1104" t="s">
        <v>253</v>
      </c>
      <c r="B54" s="753">
        <v>122</v>
      </c>
      <c r="C54" s="747">
        <v>579</v>
      </c>
      <c r="D54" s="758">
        <v>40736</v>
      </c>
      <c r="E54" s="778">
        <v>434460</v>
      </c>
      <c r="F54" s="755"/>
      <c r="G54" s="747"/>
      <c r="H54" s="747"/>
      <c r="I54" s="756"/>
      <c r="J54" s="746">
        <v>15</v>
      </c>
      <c r="K54" s="747"/>
      <c r="L54" s="747">
        <v>2367</v>
      </c>
      <c r="M54" s="756">
        <v>15524</v>
      </c>
      <c r="N54" s="746"/>
      <c r="O54" s="747"/>
      <c r="P54" s="747"/>
      <c r="Q54" s="778"/>
      <c r="R54" s="755"/>
      <c r="S54" s="747"/>
      <c r="T54" s="747"/>
      <c r="U54" s="756"/>
      <c r="V54" s="746">
        <v>191.7</v>
      </c>
      <c r="W54" s="747"/>
      <c r="X54" s="747">
        <v>1207</v>
      </c>
      <c r="Y54" s="756">
        <v>40591.6</v>
      </c>
      <c r="Z54" s="746"/>
      <c r="AA54" s="747"/>
      <c r="AB54" s="747"/>
      <c r="AC54" s="756"/>
      <c r="AD54" s="746"/>
      <c r="AE54" s="747"/>
      <c r="AF54" s="747">
        <v>3</v>
      </c>
      <c r="AG54" s="756">
        <v>0.09</v>
      </c>
      <c r="AH54" s="746"/>
      <c r="AI54" s="747"/>
      <c r="AJ54" s="747"/>
      <c r="AK54" s="756"/>
      <c r="AL54" s="746">
        <v>14</v>
      </c>
      <c r="AM54" s="747">
        <v>3</v>
      </c>
      <c r="AN54" s="747">
        <v>3310</v>
      </c>
      <c r="AO54" s="756">
        <v>57356</v>
      </c>
      <c r="AP54" s="746"/>
      <c r="AQ54" s="747"/>
      <c r="AR54" s="747"/>
      <c r="AS54" s="756"/>
      <c r="AT54" s="746"/>
      <c r="AU54" s="747"/>
      <c r="AV54" s="747"/>
      <c r="AW54" s="756"/>
      <c r="AX54" s="746"/>
      <c r="AY54" s="747"/>
      <c r="AZ54" s="747"/>
      <c r="BA54" s="756"/>
      <c r="BB54" s="746"/>
      <c r="BC54" s="747"/>
      <c r="BD54" s="747"/>
      <c r="BE54" s="756"/>
      <c r="BF54" s="746">
        <v>17.75</v>
      </c>
      <c r="BG54" s="747">
        <v>7</v>
      </c>
      <c r="BH54" s="747">
        <v>34721</v>
      </c>
      <c r="BI54" s="756">
        <v>29064.06</v>
      </c>
      <c r="BJ54" s="746"/>
      <c r="BK54" s="747"/>
      <c r="BL54" s="747"/>
      <c r="BM54" s="756"/>
      <c r="BN54" s="746"/>
      <c r="BO54" s="747"/>
      <c r="BP54" s="747"/>
      <c r="BQ54" s="756"/>
      <c r="BR54" s="746">
        <v>2</v>
      </c>
      <c r="BS54" s="747"/>
      <c r="BT54" s="747">
        <v>968</v>
      </c>
      <c r="BU54" s="756">
        <v>724</v>
      </c>
      <c r="BV54" s="746"/>
      <c r="BW54" s="747"/>
      <c r="BX54" s="747"/>
      <c r="BY54" s="756"/>
      <c r="BZ54" s="746">
        <v>1</v>
      </c>
      <c r="CA54" s="747">
        <v>51</v>
      </c>
      <c r="CB54" s="747">
        <v>26669</v>
      </c>
      <c r="CC54" s="756">
        <v>1669</v>
      </c>
      <c r="CD54" s="746">
        <v>13</v>
      </c>
      <c r="CE54" s="747"/>
      <c r="CF54" s="747">
        <v>6540</v>
      </c>
      <c r="CG54" s="756">
        <v>24015</v>
      </c>
      <c r="CH54" s="746">
        <v>5.53</v>
      </c>
      <c r="CI54" s="747">
        <v>2</v>
      </c>
      <c r="CJ54" s="747">
        <v>918</v>
      </c>
      <c r="CK54" s="756">
        <v>9793.82</v>
      </c>
      <c r="CL54" s="746">
        <v>3</v>
      </c>
      <c r="CM54" s="747">
        <v>12</v>
      </c>
      <c r="CN54" s="747">
        <v>498</v>
      </c>
      <c r="CO54" s="756">
        <v>2371</v>
      </c>
      <c r="CP54" s="746">
        <v>690.07</v>
      </c>
      <c r="CQ54" s="747">
        <v>4196</v>
      </c>
      <c r="CR54" s="747">
        <v>1008394</v>
      </c>
      <c r="CS54" s="756">
        <v>291184.65</v>
      </c>
    </row>
    <row r="55" spans="1:97" ht="16.5">
      <c r="A55" s="1104" t="s">
        <v>254</v>
      </c>
      <c r="B55" s="753">
        <v>156</v>
      </c>
      <c r="C55" s="747">
        <v>380</v>
      </c>
      <c r="D55" s="758">
        <v>46057</v>
      </c>
      <c r="E55" s="778">
        <v>433147</v>
      </c>
      <c r="F55" s="755"/>
      <c r="G55" s="747"/>
      <c r="H55" s="747"/>
      <c r="I55" s="756"/>
      <c r="J55" s="746">
        <v>15</v>
      </c>
      <c r="K55" s="747"/>
      <c r="L55" s="747">
        <v>2286</v>
      </c>
      <c r="M55" s="756">
        <v>9209</v>
      </c>
      <c r="N55" s="746"/>
      <c r="O55" s="747"/>
      <c r="P55" s="747"/>
      <c r="Q55" s="778"/>
      <c r="R55" s="755"/>
      <c r="S55" s="747"/>
      <c r="T55" s="747"/>
      <c r="U55" s="756"/>
      <c r="V55" s="746">
        <v>46.1</v>
      </c>
      <c r="W55" s="747"/>
      <c r="X55" s="747">
        <v>111</v>
      </c>
      <c r="Y55" s="756">
        <v>7521.5</v>
      </c>
      <c r="Z55" s="746"/>
      <c r="AA55" s="747"/>
      <c r="AB55" s="747"/>
      <c r="AC55" s="756"/>
      <c r="AD55" s="746">
        <v>0.19</v>
      </c>
      <c r="AE55" s="747">
        <v>3</v>
      </c>
      <c r="AF55" s="747">
        <v>4288</v>
      </c>
      <c r="AG55" s="756">
        <v>160.54</v>
      </c>
      <c r="AH55" s="746"/>
      <c r="AI55" s="747"/>
      <c r="AJ55" s="747"/>
      <c r="AK55" s="756"/>
      <c r="AL55" s="746">
        <v>25</v>
      </c>
      <c r="AM55" s="747">
        <v>3</v>
      </c>
      <c r="AN55" s="747">
        <v>3970</v>
      </c>
      <c r="AO55" s="756">
        <v>104492</v>
      </c>
      <c r="AP55" s="746"/>
      <c r="AQ55" s="747"/>
      <c r="AR55" s="747"/>
      <c r="AS55" s="756"/>
      <c r="AT55" s="746"/>
      <c r="AU55" s="747"/>
      <c r="AV55" s="747"/>
      <c r="AW55" s="756"/>
      <c r="AX55" s="746"/>
      <c r="AY55" s="747"/>
      <c r="AZ55" s="747"/>
      <c r="BA55" s="756"/>
      <c r="BB55" s="746"/>
      <c r="BC55" s="747"/>
      <c r="BD55" s="747"/>
      <c r="BE55" s="756"/>
      <c r="BF55" s="746">
        <v>23.68</v>
      </c>
      <c r="BG55" s="747">
        <v>3</v>
      </c>
      <c r="BH55" s="747">
        <v>8010</v>
      </c>
      <c r="BI55" s="756">
        <v>24998.83</v>
      </c>
      <c r="BJ55" s="746"/>
      <c r="BK55" s="747"/>
      <c r="BL55" s="747"/>
      <c r="BM55" s="756"/>
      <c r="BN55" s="746"/>
      <c r="BO55" s="747"/>
      <c r="BP55" s="747"/>
      <c r="BQ55" s="756"/>
      <c r="BR55" s="746">
        <v>10</v>
      </c>
      <c r="BS55" s="747"/>
      <c r="BT55" s="747">
        <v>-76</v>
      </c>
      <c r="BU55" s="756">
        <v>1775</v>
      </c>
      <c r="BV55" s="746"/>
      <c r="BW55" s="747"/>
      <c r="BX55" s="747"/>
      <c r="BY55" s="756"/>
      <c r="BZ55" s="746">
        <v>2</v>
      </c>
      <c r="CA55" s="747">
        <v>39</v>
      </c>
      <c r="CB55" s="747">
        <v>33452</v>
      </c>
      <c r="CC55" s="756">
        <v>2440</v>
      </c>
      <c r="CD55" s="746">
        <v>45</v>
      </c>
      <c r="CE55" s="747"/>
      <c r="CF55" s="747">
        <v>39145</v>
      </c>
      <c r="CG55" s="756">
        <v>48496</v>
      </c>
      <c r="CH55" s="746">
        <v>3.72</v>
      </c>
      <c r="CI55" s="747"/>
      <c r="CJ55" s="747">
        <v>1592</v>
      </c>
      <c r="CK55" s="756">
        <v>4461.15</v>
      </c>
      <c r="CL55" s="746">
        <v>7</v>
      </c>
      <c r="CM55" s="747">
        <v>15</v>
      </c>
      <c r="CN55" s="747">
        <v>9924</v>
      </c>
      <c r="CO55" s="756">
        <v>5566</v>
      </c>
      <c r="CP55" s="746">
        <v>724.69</v>
      </c>
      <c r="CQ55" s="747">
        <v>2024</v>
      </c>
      <c r="CR55" s="747">
        <v>695770</v>
      </c>
      <c r="CS55" s="756">
        <v>203774.4</v>
      </c>
    </row>
    <row r="56" spans="1:97" ht="16.5">
      <c r="A56" s="1104" t="s">
        <v>255</v>
      </c>
      <c r="B56" s="753">
        <v>128</v>
      </c>
      <c r="C56" s="747">
        <v>213</v>
      </c>
      <c r="D56" s="758">
        <v>24726</v>
      </c>
      <c r="E56" s="778">
        <v>356473</v>
      </c>
      <c r="F56" s="755"/>
      <c r="G56" s="747"/>
      <c r="H56" s="747"/>
      <c r="I56" s="760"/>
      <c r="J56" s="746">
        <v>15</v>
      </c>
      <c r="K56" s="747"/>
      <c r="L56" s="747">
        <v>1389</v>
      </c>
      <c r="M56" s="756">
        <v>9412</v>
      </c>
      <c r="N56" s="746"/>
      <c r="O56" s="747"/>
      <c r="P56" s="747"/>
      <c r="Q56" s="778"/>
      <c r="R56" s="755"/>
      <c r="S56" s="747"/>
      <c r="T56" s="747"/>
      <c r="U56" s="756"/>
      <c r="V56" s="746">
        <v>8.5</v>
      </c>
      <c r="W56" s="747"/>
      <c r="X56" s="747">
        <v>9</v>
      </c>
      <c r="Y56" s="756">
        <v>1761.8</v>
      </c>
      <c r="Z56" s="746"/>
      <c r="AA56" s="747"/>
      <c r="AB56" s="747"/>
      <c r="AC56" s="756"/>
      <c r="AD56" s="746">
        <v>0.01</v>
      </c>
      <c r="AE56" s="747">
        <v>2</v>
      </c>
      <c r="AF56" s="747">
        <v>283</v>
      </c>
      <c r="AG56" s="756">
        <v>13.28</v>
      </c>
      <c r="AH56" s="746"/>
      <c r="AI56" s="747"/>
      <c r="AJ56" s="747"/>
      <c r="AK56" s="756"/>
      <c r="AL56" s="746">
        <v>25</v>
      </c>
      <c r="AM56" s="747"/>
      <c r="AN56" s="747">
        <v>3301</v>
      </c>
      <c r="AO56" s="756">
        <v>75814</v>
      </c>
      <c r="AP56" s="746"/>
      <c r="AQ56" s="747"/>
      <c r="AR56" s="747"/>
      <c r="AS56" s="756"/>
      <c r="AT56" s="746"/>
      <c r="AU56" s="747"/>
      <c r="AV56" s="747"/>
      <c r="AW56" s="756"/>
      <c r="AX56" s="746"/>
      <c r="AY56" s="747"/>
      <c r="AZ56" s="747"/>
      <c r="BA56" s="756"/>
      <c r="BB56" s="746"/>
      <c r="BC56" s="747"/>
      <c r="BD56" s="747"/>
      <c r="BE56" s="756"/>
      <c r="BF56" s="746">
        <v>20.8</v>
      </c>
      <c r="BG56" s="747">
        <v>4</v>
      </c>
      <c r="BH56" s="747">
        <v>8152</v>
      </c>
      <c r="BI56" s="756">
        <v>8810.51</v>
      </c>
      <c r="BJ56" s="746"/>
      <c r="BK56" s="747"/>
      <c r="BL56" s="747"/>
      <c r="BM56" s="756"/>
      <c r="BN56" s="746"/>
      <c r="BO56" s="747"/>
      <c r="BP56" s="747"/>
      <c r="BQ56" s="756"/>
      <c r="BR56" s="746">
        <v>8</v>
      </c>
      <c r="BS56" s="747"/>
      <c r="BT56" s="747">
        <v>-1</v>
      </c>
      <c r="BU56" s="756"/>
      <c r="BV56" s="746"/>
      <c r="BW56" s="747"/>
      <c r="BX56" s="747"/>
      <c r="BY56" s="756"/>
      <c r="BZ56" s="746">
        <v>1</v>
      </c>
      <c r="CA56" s="747">
        <v>25</v>
      </c>
      <c r="CB56" s="747">
        <v>23518</v>
      </c>
      <c r="CC56" s="756">
        <v>1965</v>
      </c>
      <c r="CD56" s="746">
        <v>55</v>
      </c>
      <c r="CE56" s="747"/>
      <c r="CF56" s="747">
        <v>62732</v>
      </c>
      <c r="CG56" s="756">
        <v>53446</v>
      </c>
      <c r="CH56" s="746">
        <v>0.12</v>
      </c>
      <c r="CI56" s="747">
        <v>1</v>
      </c>
      <c r="CJ56" s="747">
        <v>1647</v>
      </c>
      <c r="CK56" s="756">
        <v>-1677</v>
      </c>
      <c r="CL56" s="746">
        <v>8</v>
      </c>
      <c r="CM56" s="747">
        <v>12</v>
      </c>
      <c r="CN56" s="747">
        <v>1456</v>
      </c>
      <c r="CO56" s="756">
        <v>7415</v>
      </c>
      <c r="CP56" s="746">
        <v>402.53</v>
      </c>
      <c r="CQ56" s="747">
        <v>644</v>
      </c>
      <c r="CR56" s="747">
        <v>376533</v>
      </c>
      <c r="CS56" s="756">
        <v>100813.07</v>
      </c>
    </row>
    <row r="57" spans="1:97" ht="16.5">
      <c r="A57" s="1104" t="s">
        <v>256</v>
      </c>
      <c r="B57" s="753">
        <v>96</v>
      </c>
      <c r="C57" s="747">
        <v>136</v>
      </c>
      <c r="D57" s="758">
        <v>18130</v>
      </c>
      <c r="E57" s="778">
        <v>224871</v>
      </c>
      <c r="F57" s="755"/>
      <c r="G57" s="747"/>
      <c r="H57" s="747"/>
      <c r="I57" s="756"/>
      <c r="J57" s="746">
        <v>9</v>
      </c>
      <c r="K57" s="747"/>
      <c r="L57" s="747">
        <v>91</v>
      </c>
      <c r="M57" s="756">
        <v>4656</v>
      </c>
      <c r="N57" s="746"/>
      <c r="O57" s="747"/>
      <c r="P57" s="747"/>
      <c r="Q57" s="778"/>
      <c r="R57" s="755"/>
      <c r="S57" s="747"/>
      <c r="T57" s="747"/>
      <c r="U57" s="756"/>
      <c r="V57" s="746">
        <v>2.6</v>
      </c>
      <c r="W57" s="747"/>
      <c r="X57" s="747">
        <v>2</v>
      </c>
      <c r="Y57" s="756">
        <v>719</v>
      </c>
      <c r="Z57" s="746"/>
      <c r="AA57" s="747"/>
      <c r="AB57" s="747"/>
      <c r="AC57" s="756"/>
      <c r="AD57" s="746">
        <v>0.06</v>
      </c>
      <c r="AE57" s="747">
        <v>2</v>
      </c>
      <c r="AF57" s="747">
        <v>911</v>
      </c>
      <c r="AG57" s="756">
        <v>84.07</v>
      </c>
      <c r="AH57" s="746"/>
      <c r="AI57" s="747"/>
      <c r="AJ57" s="747"/>
      <c r="AK57" s="756"/>
      <c r="AL57" s="746">
        <v>15</v>
      </c>
      <c r="AM57" s="747">
        <v>1</v>
      </c>
      <c r="AN57" s="747">
        <v>2677</v>
      </c>
      <c r="AO57" s="756">
        <v>46741</v>
      </c>
      <c r="AP57" s="746"/>
      <c r="AQ57" s="747"/>
      <c r="AR57" s="747"/>
      <c r="AS57" s="756"/>
      <c r="AT57" s="746"/>
      <c r="AU57" s="747"/>
      <c r="AV57" s="747"/>
      <c r="AW57" s="756"/>
      <c r="AX57" s="746"/>
      <c r="AY57" s="747"/>
      <c r="AZ57" s="747"/>
      <c r="BA57" s="756"/>
      <c r="BB57" s="746"/>
      <c r="BC57" s="747"/>
      <c r="BD57" s="747"/>
      <c r="BE57" s="756"/>
      <c r="BF57" s="746">
        <v>21.67</v>
      </c>
      <c r="BG57" s="747">
        <v>8</v>
      </c>
      <c r="BH57" s="747">
        <v>6945</v>
      </c>
      <c r="BI57" s="756">
        <v>10982.56</v>
      </c>
      <c r="BJ57" s="746"/>
      <c r="BK57" s="747"/>
      <c r="BL57" s="747"/>
      <c r="BM57" s="756"/>
      <c r="BN57" s="746"/>
      <c r="BO57" s="747"/>
      <c r="BP57" s="747"/>
      <c r="BQ57" s="756"/>
      <c r="BR57" s="746">
        <v>7</v>
      </c>
      <c r="BS57" s="747"/>
      <c r="BT57" s="747">
        <v>139</v>
      </c>
      <c r="BU57" s="756"/>
      <c r="BV57" s="746"/>
      <c r="BW57" s="747"/>
      <c r="BX57" s="747"/>
      <c r="BY57" s="756"/>
      <c r="BZ57" s="746">
        <v>1</v>
      </c>
      <c r="CA57" s="747">
        <v>25</v>
      </c>
      <c r="CB57" s="747">
        <v>23047</v>
      </c>
      <c r="CC57" s="756">
        <v>1444</v>
      </c>
      <c r="CD57" s="746">
        <v>22</v>
      </c>
      <c r="CE57" s="747"/>
      <c r="CF57" s="747">
        <v>14408</v>
      </c>
      <c r="CG57" s="756">
        <v>21745</v>
      </c>
      <c r="CH57" s="746">
        <v>-0.1</v>
      </c>
      <c r="CI57" s="747"/>
      <c r="CJ57" s="747">
        <v>-142</v>
      </c>
      <c r="CK57" s="756">
        <v>-4190.44</v>
      </c>
      <c r="CL57" s="746">
        <v>12</v>
      </c>
      <c r="CM57" s="747">
        <v>8</v>
      </c>
      <c r="CN57" s="747">
        <v>3932</v>
      </c>
      <c r="CO57" s="756">
        <v>7456</v>
      </c>
      <c r="CP57" s="746">
        <v>513.99</v>
      </c>
      <c r="CQ57" s="747">
        <v>565</v>
      </c>
      <c r="CR57" s="747">
        <v>250202</v>
      </c>
      <c r="CS57" s="756">
        <v>109710.46</v>
      </c>
    </row>
    <row r="58" spans="1:97" ht="16.5">
      <c r="A58" s="1104" t="s">
        <v>257</v>
      </c>
      <c r="B58" s="753">
        <v>104</v>
      </c>
      <c r="C58" s="747">
        <v>109</v>
      </c>
      <c r="D58" s="758">
        <v>13973</v>
      </c>
      <c r="E58" s="778">
        <v>262236</v>
      </c>
      <c r="F58" s="755"/>
      <c r="G58" s="747"/>
      <c r="H58" s="747"/>
      <c r="I58" s="756"/>
      <c r="J58" s="780">
        <v>17</v>
      </c>
      <c r="K58" s="747"/>
      <c r="L58" s="747">
        <v>1108</v>
      </c>
      <c r="M58" s="756">
        <v>8660</v>
      </c>
      <c r="N58" s="746"/>
      <c r="O58" s="747"/>
      <c r="P58" s="747"/>
      <c r="Q58" s="778"/>
      <c r="R58" s="755"/>
      <c r="S58" s="747"/>
      <c r="T58" s="747"/>
      <c r="U58" s="756"/>
      <c r="V58" s="746">
        <v>1.7</v>
      </c>
      <c r="W58" s="747"/>
      <c r="X58" s="747"/>
      <c r="Y58" s="756"/>
      <c r="Z58" s="746"/>
      <c r="AA58" s="747"/>
      <c r="AB58" s="747"/>
      <c r="AC58" s="756"/>
      <c r="AD58" s="746">
        <v>0.18</v>
      </c>
      <c r="AE58" s="747">
        <v>1</v>
      </c>
      <c r="AF58" s="747">
        <v>11063</v>
      </c>
      <c r="AG58" s="756">
        <v>74.43</v>
      </c>
      <c r="AH58" s="746"/>
      <c r="AI58" s="747"/>
      <c r="AJ58" s="747"/>
      <c r="AK58" s="756"/>
      <c r="AL58" s="746">
        <v>21</v>
      </c>
      <c r="AM58" s="747"/>
      <c r="AN58" s="747">
        <v>2433</v>
      </c>
      <c r="AO58" s="756">
        <v>59719</v>
      </c>
      <c r="AP58" s="746"/>
      <c r="AQ58" s="747"/>
      <c r="AR58" s="747"/>
      <c r="AS58" s="756"/>
      <c r="AT58" s="746"/>
      <c r="AU58" s="747"/>
      <c r="AV58" s="747"/>
      <c r="AW58" s="756"/>
      <c r="AX58" s="746"/>
      <c r="AY58" s="747"/>
      <c r="AZ58" s="747"/>
      <c r="BA58" s="756"/>
      <c r="BB58" s="746"/>
      <c r="BC58" s="747"/>
      <c r="BD58" s="747"/>
      <c r="BE58" s="756"/>
      <c r="BF58" s="746">
        <v>15.68</v>
      </c>
      <c r="BG58" s="747">
        <v>1</v>
      </c>
      <c r="BH58" s="747">
        <v>2324</v>
      </c>
      <c r="BI58" s="756">
        <v>16001.9</v>
      </c>
      <c r="BJ58" s="746"/>
      <c r="BK58" s="747"/>
      <c r="BL58" s="747"/>
      <c r="BM58" s="756"/>
      <c r="BN58" s="746"/>
      <c r="BO58" s="747"/>
      <c r="BP58" s="747"/>
      <c r="BQ58" s="756"/>
      <c r="BR58" s="746">
        <v>5</v>
      </c>
      <c r="BS58" s="747"/>
      <c r="BT58" s="747">
        <v>-1</v>
      </c>
      <c r="BU58" s="756"/>
      <c r="BV58" s="746"/>
      <c r="BW58" s="747"/>
      <c r="BX58" s="747"/>
      <c r="BY58" s="756"/>
      <c r="BZ58" s="746">
        <v>1</v>
      </c>
      <c r="CA58" s="747">
        <v>33</v>
      </c>
      <c r="CB58" s="747">
        <v>26325</v>
      </c>
      <c r="CC58" s="756">
        <v>2014</v>
      </c>
      <c r="CD58" s="746">
        <v>19</v>
      </c>
      <c r="CE58" s="747"/>
      <c r="CF58" s="747">
        <v>11019</v>
      </c>
      <c r="CG58" s="756">
        <v>12577</v>
      </c>
      <c r="CH58" s="746">
        <v>2.27</v>
      </c>
      <c r="CI58" s="747"/>
      <c r="CJ58" s="747">
        <v>395</v>
      </c>
      <c r="CK58" s="756">
        <v>8380</v>
      </c>
      <c r="CL58" s="746">
        <v>7</v>
      </c>
      <c r="CM58" s="747">
        <v>4</v>
      </c>
      <c r="CN58" s="747">
        <v>702</v>
      </c>
      <c r="CO58" s="756">
        <v>4580</v>
      </c>
      <c r="CP58" s="746">
        <v>329.15</v>
      </c>
      <c r="CQ58" s="747">
        <v>294</v>
      </c>
      <c r="CR58" s="747">
        <v>193999</v>
      </c>
      <c r="CS58" s="756">
        <v>66805.96</v>
      </c>
    </row>
    <row r="59" spans="1:97" ht="16.5">
      <c r="A59" s="1104" t="s">
        <v>258</v>
      </c>
      <c r="B59" s="759">
        <v>5004</v>
      </c>
      <c r="C59" s="747">
        <v>1166</v>
      </c>
      <c r="D59" s="754">
        <v>860884</v>
      </c>
      <c r="E59" s="778">
        <v>8135510</v>
      </c>
      <c r="F59" s="755">
        <v>1142</v>
      </c>
      <c r="G59" s="761">
        <v>81</v>
      </c>
      <c r="H59" s="747">
        <v>185719</v>
      </c>
      <c r="I59" s="756">
        <v>1671524</v>
      </c>
      <c r="J59" s="746">
        <v>8074</v>
      </c>
      <c r="K59" s="747">
        <v>27</v>
      </c>
      <c r="L59" s="747">
        <v>245090</v>
      </c>
      <c r="M59" s="756">
        <v>554632</v>
      </c>
      <c r="N59" s="746"/>
      <c r="O59" s="747"/>
      <c r="P59" s="747"/>
      <c r="Q59" s="778"/>
      <c r="R59" s="755"/>
      <c r="S59" s="747"/>
      <c r="T59" s="747"/>
      <c r="U59" s="756"/>
      <c r="V59" s="746">
        <v>1.3</v>
      </c>
      <c r="W59" s="747"/>
      <c r="X59" s="747">
        <v>1</v>
      </c>
      <c r="Y59" s="756">
        <v>200</v>
      </c>
      <c r="Z59" s="746"/>
      <c r="AA59" s="747"/>
      <c r="AB59" s="747"/>
      <c r="AC59" s="756"/>
      <c r="AD59" s="746">
        <v>11.12</v>
      </c>
      <c r="AE59" s="747">
        <v>29</v>
      </c>
      <c r="AF59" s="747">
        <v>64569</v>
      </c>
      <c r="AG59" s="756">
        <v>6116.71</v>
      </c>
      <c r="AH59" s="746">
        <v>5960.51</v>
      </c>
      <c r="AI59" s="747">
        <v>30</v>
      </c>
      <c r="AJ59" s="747">
        <v>1376406</v>
      </c>
      <c r="AK59" s="756">
        <v>3803204.1</v>
      </c>
      <c r="AL59" s="746">
        <v>23819</v>
      </c>
      <c r="AM59" s="747">
        <v>27</v>
      </c>
      <c r="AN59" s="747">
        <v>373800</v>
      </c>
      <c r="AO59" s="756">
        <v>3557660</v>
      </c>
      <c r="AP59" s="746"/>
      <c r="AQ59" s="747"/>
      <c r="AR59" s="747"/>
      <c r="AS59" s="756"/>
      <c r="AT59" s="746"/>
      <c r="AU59" s="747"/>
      <c r="AV59" s="747"/>
      <c r="AW59" s="756"/>
      <c r="AX59" s="746">
        <v>0.33</v>
      </c>
      <c r="AY59" s="747"/>
      <c r="AZ59" s="747">
        <v>53944</v>
      </c>
      <c r="BA59" s="756">
        <v>112.41</v>
      </c>
      <c r="BB59" s="746"/>
      <c r="BC59" s="747"/>
      <c r="BD59" s="747"/>
      <c r="BE59" s="756"/>
      <c r="BF59" s="746">
        <v>71644.97</v>
      </c>
      <c r="BG59" s="747">
        <v>137</v>
      </c>
      <c r="BH59" s="747">
        <v>411787</v>
      </c>
      <c r="BI59" s="756">
        <v>2670340.55</v>
      </c>
      <c r="BJ59" s="746"/>
      <c r="BK59" s="747"/>
      <c r="BL59" s="747"/>
      <c r="BM59" s="756"/>
      <c r="BN59" s="746"/>
      <c r="BO59" s="747"/>
      <c r="BP59" s="747"/>
      <c r="BQ59" s="756"/>
      <c r="BR59" s="746">
        <v>3892</v>
      </c>
      <c r="BS59" s="747">
        <v>3</v>
      </c>
      <c r="BT59" s="747">
        <v>348</v>
      </c>
      <c r="BU59" s="756">
        <v>1344</v>
      </c>
      <c r="BV59" s="746"/>
      <c r="BW59" s="747"/>
      <c r="BX59" s="747"/>
      <c r="BY59" s="756"/>
      <c r="BZ59" s="746">
        <v>142</v>
      </c>
      <c r="CA59" s="747">
        <v>331</v>
      </c>
      <c r="CB59" s="747">
        <v>3951570</v>
      </c>
      <c r="CC59" s="756">
        <v>184770</v>
      </c>
      <c r="CD59" s="746">
        <v>925</v>
      </c>
      <c r="CE59" s="747">
        <v>10</v>
      </c>
      <c r="CF59" s="747">
        <v>424028</v>
      </c>
      <c r="CG59" s="756">
        <v>593098</v>
      </c>
      <c r="CH59" s="746">
        <v>2995.88</v>
      </c>
      <c r="CI59" s="747">
        <v>10</v>
      </c>
      <c r="CJ59" s="747">
        <v>1017568</v>
      </c>
      <c r="CK59" s="756">
        <v>2099104.17</v>
      </c>
      <c r="CL59" s="746">
        <v>6310</v>
      </c>
      <c r="CM59" s="747">
        <v>124</v>
      </c>
      <c r="CN59" s="747">
        <v>291108</v>
      </c>
      <c r="CO59" s="756">
        <v>5255367</v>
      </c>
      <c r="CP59" s="746">
        <v>2672708.18</v>
      </c>
      <c r="CQ59" s="747">
        <v>2084</v>
      </c>
      <c r="CR59" s="747">
        <v>10446199</v>
      </c>
      <c r="CS59" s="756">
        <v>5527405.84</v>
      </c>
    </row>
    <row r="60" spans="1:97" ht="16.5">
      <c r="A60" s="1103" t="s">
        <v>272</v>
      </c>
      <c r="B60" s="746"/>
      <c r="C60" s="747"/>
      <c r="D60" s="747"/>
      <c r="E60" s="748"/>
      <c r="F60" s="755"/>
      <c r="G60" s="747"/>
      <c r="H60" s="747"/>
      <c r="I60" s="756"/>
      <c r="J60" s="762"/>
      <c r="K60" s="747"/>
      <c r="L60" s="747"/>
      <c r="M60" s="756"/>
      <c r="N60" s="746"/>
      <c r="O60" s="747"/>
      <c r="P60" s="747"/>
      <c r="Q60" s="778"/>
      <c r="R60" s="755"/>
      <c r="S60" s="747"/>
      <c r="T60" s="747"/>
      <c r="U60" s="756"/>
      <c r="V60" s="746"/>
      <c r="W60" s="747"/>
      <c r="X60" s="747"/>
      <c r="Y60" s="756"/>
      <c r="Z60" s="746"/>
      <c r="AA60" s="747"/>
      <c r="AB60" s="747"/>
      <c r="AC60" s="756"/>
      <c r="AD60" s="746"/>
      <c r="AE60" s="747"/>
      <c r="AF60" s="747"/>
      <c r="AG60" s="756"/>
      <c r="AH60" s="746"/>
      <c r="AI60" s="747"/>
      <c r="AJ60" s="747"/>
      <c r="AK60" s="756"/>
      <c r="AL60" s="746"/>
      <c r="AM60" s="747"/>
      <c r="AN60" s="747"/>
      <c r="AO60" s="756"/>
      <c r="AP60" s="746"/>
      <c r="AQ60" s="747"/>
      <c r="AR60" s="747"/>
      <c r="AS60" s="756"/>
      <c r="AT60" s="746"/>
      <c r="AU60" s="747"/>
      <c r="AV60" s="747"/>
      <c r="AW60" s="756"/>
      <c r="AX60" s="746"/>
      <c r="AY60" s="747"/>
      <c r="AZ60" s="747"/>
      <c r="BA60" s="756"/>
      <c r="BB60" s="746"/>
      <c r="BC60" s="747"/>
      <c r="BD60" s="747"/>
      <c r="BE60" s="756"/>
      <c r="BF60" s="746"/>
      <c r="BG60" s="747"/>
      <c r="BH60" s="747"/>
      <c r="BI60" s="756"/>
      <c r="BJ60" s="746"/>
      <c r="BK60" s="747"/>
      <c r="BL60" s="747"/>
      <c r="BM60" s="756"/>
      <c r="BN60" s="746"/>
      <c r="BO60" s="747"/>
      <c r="BP60" s="747"/>
      <c r="BQ60" s="756"/>
      <c r="BR60" s="746"/>
      <c r="BS60" s="747"/>
      <c r="BT60" s="747"/>
      <c r="BU60" s="756"/>
      <c r="BV60" s="746"/>
      <c r="BW60" s="747"/>
      <c r="BX60" s="747"/>
      <c r="BY60" s="756"/>
      <c r="BZ60" s="746"/>
      <c r="CA60" s="747"/>
      <c r="CB60" s="747"/>
      <c r="CC60" s="756"/>
      <c r="CD60" s="746"/>
      <c r="CE60" s="747"/>
      <c r="CF60" s="747"/>
      <c r="CG60" s="756"/>
      <c r="CH60" s="746"/>
      <c r="CI60" s="747"/>
      <c r="CJ60" s="747"/>
      <c r="CK60" s="756"/>
      <c r="CL60" s="746"/>
      <c r="CM60" s="747"/>
      <c r="CN60" s="747"/>
      <c r="CO60" s="756"/>
      <c r="CP60" s="746"/>
      <c r="CQ60" s="747"/>
      <c r="CR60" s="747"/>
      <c r="CS60" s="756"/>
    </row>
    <row r="61" spans="1:97" ht="16.5">
      <c r="A61" s="1104" t="s">
        <v>252</v>
      </c>
      <c r="B61" s="757"/>
      <c r="C61" s="747"/>
      <c r="D61" s="758"/>
      <c r="E61" s="748"/>
      <c r="F61" s="763"/>
      <c r="G61" s="747"/>
      <c r="H61" s="747"/>
      <c r="I61" s="756"/>
      <c r="J61" s="746"/>
      <c r="K61" s="747"/>
      <c r="L61" s="747"/>
      <c r="M61" s="756"/>
      <c r="N61" s="746"/>
      <c r="O61" s="747"/>
      <c r="P61" s="747"/>
      <c r="Q61" s="778"/>
      <c r="R61" s="755"/>
      <c r="S61" s="747"/>
      <c r="T61" s="747"/>
      <c r="U61" s="756"/>
      <c r="V61" s="746"/>
      <c r="W61" s="747"/>
      <c r="X61" s="747"/>
      <c r="Y61" s="756"/>
      <c r="Z61" s="746"/>
      <c r="AA61" s="747"/>
      <c r="AB61" s="747"/>
      <c r="AC61" s="756"/>
      <c r="AD61" s="746"/>
      <c r="AE61" s="747"/>
      <c r="AF61" s="747"/>
      <c r="AG61" s="756"/>
      <c r="AH61" s="746"/>
      <c r="AI61" s="747"/>
      <c r="AJ61" s="747"/>
      <c r="AK61" s="756"/>
      <c r="AL61" s="746"/>
      <c r="AM61" s="747"/>
      <c r="AN61" s="747"/>
      <c r="AO61" s="756"/>
      <c r="AP61" s="746"/>
      <c r="AQ61" s="747"/>
      <c r="AR61" s="747"/>
      <c r="AS61" s="756"/>
      <c r="AT61" s="746"/>
      <c r="AU61" s="747"/>
      <c r="AV61" s="747"/>
      <c r="AW61" s="756"/>
      <c r="AX61" s="746"/>
      <c r="AY61" s="747"/>
      <c r="AZ61" s="747"/>
      <c r="BA61" s="756"/>
      <c r="BB61" s="746"/>
      <c r="BC61" s="747"/>
      <c r="BD61" s="747"/>
      <c r="BE61" s="756"/>
      <c r="BF61" s="746">
        <v>-11.22</v>
      </c>
      <c r="BG61" s="747">
        <v>14</v>
      </c>
      <c r="BH61" s="747">
        <v>57394</v>
      </c>
      <c r="BI61" s="756">
        <v>7436.69</v>
      </c>
      <c r="BJ61" s="746"/>
      <c r="BK61" s="747"/>
      <c r="BL61" s="747"/>
      <c r="BM61" s="756"/>
      <c r="BN61" s="746"/>
      <c r="BO61" s="747"/>
      <c r="BP61" s="747"/>
      <c r="BQ61" s="756"/>
      <c r="BR61" s="746"/>
      <c r="BS61" s="747"/>
      <c r="BT61" s="747"/>
      <c r="BU61" s="756"/>
      <c r="BV61" s="746"/>
      <c r="BW61" s="747"/>
      <c r="BX61" s="747"/>
      <c r="BY61" s="756"/>
      <c r="BZ61" s="746"/>
      <c r="CA61" s="747"/>
      <c r="CB61" s="747"/>
      <c r="CC61" s="756"/>
      <c r="CD61" s="746"/>
      <c r="CE61" s="747"/>
      <c r="CF61" s="747"/>
      <c r="CG61" s="756"/>
      <c r="CH61" s="746"/>
      <c r="CI61" s="747"/>
      <c r="CJ61" s="747"/>
      <c r="CK61" s="756"/>
      <c r="CL61" s="746"/>
      <c r="CM61" s="747"/>
      <c r="CN61" s="747"/>
      <c r="CO61" s="756"/>
      <c r="CP61" s="746"/>
      <c r="CQ61" s="747"/>
      <c r="CR61" s="747"/>
      <c r="CS61" s="756"/>
    </row>
    <row r="62" spans="1:97" ht="16.5">
      <c r="A62" s="1104" t="s">
        <v>253</v>
      </c>
      <c r="B62" s="757"/>
      <c r="C62" s="747"/>
      <c r="D62" s="758"/>
      <c r="E62" s="748"/>
      <c r="F62" s="755"/>
      <c r="G62" s="747"/>
      <c r="H62" s="747"/>
      <c r="I62" s="760"/>
      <c r="J62" s="762"/>
      <c r="K62" s="747"/>
      <c r="L62" s="747"/>
      <c r="M62" s="756"/>
      <c r="N62" s="746"/>
      <c r="O62" s="747"/>
      <c r="P62" s="747"/>
      <c r="Q62" s="778"/>
      <c r="R62" s="755"/>
      <c r="S62" s="747"/>
      <c r="T62" s="747"/>
      <c r="U62" s="756"/>
      <c r="V62" s="746"/>
      <c r="W62" s="747"/>
      <c r="X62" s="747"/>
      <c r="Y62" s="756"/>
      <c r="Z62" s="746"/>
      <c r="AA62" s="747"/>
      <c r="AB62" s="747"/>
      <c r="AC62" s="756"/>
      <c r="AD62" s="746"/>
      <c r="AE62" s="747"/>
      <c r="AF62" s="747"/>
      <c r="AG62" s="756"/>
      <c r="AH62" s="746"/>
      <c r="AI62" s="747"/>
      <c r="AJ62" s="747"/>
      <c r="AK62" s="756"/>
      <c r="AL62" s="746"/>
      <c r="AM62" s="747"/>
      <c r="AN62" s="747"/>
      <c r="AO62" s="756"/>
      <c r="AP62" s="746"/>
      <c r="AQ62" s="747"/>
      <c r="AR62" s="747"/>
      <c r="AS62" s="756"/>
      <c r="AT62" s="746"/>
      <c r="AU62" s="747"/>
      <c r="AV62" s="747"/>
      <c r="AW62" s="756"/>
      <c r="AX62" s="746"/>
      <c r="AY62" s="747"/>
      <c r="AZ62" s="747"/>
      <c r="BA62" s="756"/>
      <c r="BB62" s="746"/>
      <c r="BC62" s="747"/>
      <c r="BD62" s="747"/>
      <c r="BE62" s="756"/>
      <c r="BF62" s="746">
        <v>2</v>
      </c>
      <c r="BG62" s="747"/>
      <c r="BH62" s="747">
        <v>-1</v>
      </c>
      <c r="BI62" s="756">
        <v>7.91</v>
      </c>
      <c r="BJ62" s="746"/>
      <c r="BK62" s="747"/>
      <c r="BL62" s="747"/>
      <c r="BM62" s="756"/>
      <c r="BN62" s="746"/>
      <c r="BO62" s="747"/>
      <c r="BP62" s="747"/>
      <c r="BQ62" s="756"/>
      <c r="BR62" s="746"/>
      <c r="BS62" s="747"/>
      <c r="BT62" s="747"/>
      <c r="BU62" s="756"/>
      <c r="BV62" s="746"/>
      <c r="BW62" s="747"/>
      <c r="BX62" s="747"/>
      <c r="BY62" s="756"/>
      <c r="BZ62" s="746"/>
      <c r="CA62" s="747"/>
      <c r="CB62" s="747"/>
      <c r="CC62" s="756"/>
      <c r="CD62" s="746"/>
      <c r="CE62" s="747"/>
      <c r="CF62" s="747"/>
      <c r="CG62" s="756"/>
      <c r="CH62" s="746"/>
      <c r="CI62" s="747"/>
      <c r="CJ62" s="747"/>
      <c r="CK62" s="756"/>
      <c r="CL62" s="746"/>
      <c r="CM62" s="747"/>
      <c r="CN62" s="747"/>
      <c r="CO62" s="756"/>
      <c r="CP62" s="746"/>
      <c r="CQ62" s="747"/>
      <c r="CR62" s="747"/>
      <c r="CS62" s="756"/>
    </row>
    <row r="63" spans="1:97" ht="16.5">
      <c r="A63" s="1104" t="s">
        <v>254</v>
      </c>
      <c r="B63" s="757"/>
      <c r="C63" s="747"/>
      <c r="D63" s="758"/>
      <c r="E63" s="748"/>
      <c r="F63" s="755"/>
      <c r="G63" s="761"/>
      <c r="H63" s="747"/>
      <c r="I63" s="756"/>
      <c r="J63" s="762"/>
      <c r="K63" s="747"/>
      <c r="L63" s="747"/>
      <c r="M63" s="756"/>
      <c r="N63" s="746"/>
      <c r="O63" s="747"/>
      <c r="P63" s="747"/>
      <c r="Q63" s="778"/>
      <c r="R63" s="755"/>
      <c r="S63" s="747"/>
      <c r="T63" s="747"/>
      <c r="U63" s="756"/>
      <c r="V63" s="746"/>
      <c r="W63" s="747"/>
      <c r="X63" s="747"/>
      <c r="Y63" s="756"/>
      <c r="Z63" s="746"/>
      <c r="AA63" s="747"/>
      <c r="AB63" s="747"/>
      <c r="AC63" s="756"/>
      <c r="AD63" s="746"/>
      <c r="AE63" s="747"/>
      <c r="AF63" s="747"/>
      <c r="AG63" s="756"/>
      <c r="AH63" s="746"/>
      <c r="AI63" s="747"/>
      <c r="AJ63" s="747"/>
      <c r="AK63" s="756"/>
      <c r="AL63" s="746"/>
      <c r="AM63" s="747"/>
      <c r="AN63" s="747"/>
      <c r="AO63" s="756"/>
      <c r="AP63" s="746"/>
      <c r="AQ63" s="747"/>
      <c r="AR63" s="747"/>
      <c r="AS63" s="756"/>
      <c r="AT63" s="746"/>
      <c r="AU63" s="747"/>
      <c r="AV63" s="747"/>
      <c r="AW63" s="756"/>
      <c r="AX63" s="746"/>
      <c r="AY63" s="747"/>
      <c r="AZ63" s="747"/>
      <c r="BA63" s="756"/>
      <c r="BB63" s="746"/>
      <c r="BC63" s="747"/>
      <c r="BD63" s="747"/>
      <c r="BE63" s="756"/>
      <c r="BF63" s="746">
        <v>6.37</v>
      </c>
      <c r="BG63" s="747"/>
      <c r="BH63" s="747">
        <v>-1</v>
      </c>
      <c r="BI63" s="756">
        <v>16.89</v>
      </c>
      <c r="BJ63" s="746"/>
      <c r="BK63" s="747"/>
      <c r="BL63" s="747"/>
      <c r="BM63" s="756"/>
      <c r="BN63" s="746"/>
      <c r="BO63" s="747"/>
      <c r="BP63" s="747"/>
      <c r="BQ63" s="756"/>
      <c r="BR63" s="746"/>
      <c r="BS63" s="747"/>
      <c r="BT63" s="747"/>
      <c r="BU63" s="756"/>
      <c r="BV63" s="746"/>
      <c r="BW63" s="747"/>
      <c r="BX63" s="747"/>
      <c r="BY63" s="756"/>
      <c r="BZ63" s="746"/>
      <c r="CA63" s="747"/>
      <c r="CB63" s="747"/>
      <c r="CC63" s="756"/>
      <c r="CD63" s="746"/>
      <c r="CE63" s="747"/>
      <c r="CF63" s="747"/>
      <c r="CG63" s="756"/>
      <c r="CH63" s="746"/>
      <c r="CI63" s="747"/>
      <c r="CJ63" s="747"/>
      <c r="CK63" s="756"/>
      <c r="CL63" s="746"/>
      <c r="CM63" s="747"/>
      <c r="CN63" s="747"/>
      <c r="CO63" s="756"/>
      <c r="CP63" s="746"/>
      <c r="CQ63" s="747"/>
      <c r="CR63" s="747"/>
      <c r="CS63" s="756"/>
    </row>
    <row r="64" spans="1:97" ht="16.5">
      <c r="A64" s="1104" t="s">
        <v>255</v>
      </c>
      <c r="B64" s="757"/>
      <c r="C64" s="747"/>
      <c r="D64" s="758"/>
      <c r="E64" s="748"/>
      <c r="F64" s="755"/>
      <c r="G64" s="747"/>
      <c r="H64" s="747"/>
      <c r="I64" s="756"/>
      <c r="J64" s="746"/>
      <c r="K64" s="747"/>
      <c r="L64" s="747"/>
      <c r="M64" s="756"/>
      <c r="N64" s="746"/>
      <c r="O64" s="747"/>
      <c r="P64" s="747"/>
      <c r="Q64" s="778"/>
      <c r="R64" s="755"/>
      <c r="S64" s="747"/>
      <c r="T64" s="747"/>
      <c r="U64" s="756"/>
      <c r="V64" s="746"/>
      <c r="W64" s="747"/>
      <c r="X64" s="747"/>
      <c r="Y64" s="756"/>
      <c r="Z64" s="746"/>
      <c r="AA64" s="747"/>
      <c r="AB64" s="747"/>
      <c r="AC64" s="756"/>
      <c r="AD64" s="746"/>
      <c r="AE64" s="747"/>
      <c r="AF64" s="747"/>
      <c r="AG64" s="756"/>
      <c r="AH64" s="746"/>
      <c r="AI64" s="747"/>
      <c r="AJ64" s="747"/>
      <c r="AK64" s="756"/>
      <c r="AL64" s="746"/>
      <c r="AM64" s="747"/>
      <c r="AN64" s="747"/>
      <c r="AO64" s="756"/>
      <c r="AP64" s="746"/>
      <c r="AQ64" s="747"/>
      <c r="AR64" s="747"/>
      <c r="AS64" s="756"/>
      <c r="AT64" s="746"/>
      <c r="AU64" s="747"/>
      <c r="AV64" s="747"/>
      <c r="AW64" s="756"/>
      <c r="AX64" s="746"/>
      <c r="AY64" s="747"/>
      <c r="AZ64" s="747"/>
      <c r="BA64" s="756"/>
      <c r="BB64" s="746"/>
      <c r="BC64" s="747"/>
      <c r="BD64" s="747"/>
      <c r="BE64" s="756"/>
      <c r="BF64" s="746">
        <v>5.43</v>
      </c>
      <c r="BG64" s="747"/>
      <c r="BH64" s="747">
        <v>1</v>
      </c>
      <c r="BI64" s="756">
        <v>20.06</v>
      </c>
      <c r="BJ64" s="746"/>
      <c r="BK64" s="747"/>
      <c r="BL64" s="747"/>
      <c r="BM64" s="756"/>
      <c r="BN64" s="746"/>
      <c r="BO64" s="747"/>
      <c r="BP64" s="747"/>
      <c r="BQ64" s="756"/>
      <c r="BR64" s="746"/>
      <c r="BS64" s="747"/>
      <c r="BT64" s="747"/>
      <c r="BU64" s="756"/>
      <c r="BV64" s="746"/>
      <c r="BW64" s="747"/>
      <c r="BX64" s="747"/>
      <c r="BY64" s="756"/>
      <c r="BZ64" s="746"/>
      <c r="CA64" s="747"/>
      <c r="CB64" s="747"/>
      <c r="CC64" s="756"/>
      <c r="CD64" s="746"/>
      <c r="CE64" s="747"/>
      <c r="CF64" s="747"/>
      <c r="CG64" s="756"/>
      <c r="CH64" s="746"/>
      <c r="CI64" s="747"/>
      <c r="CJ64" s="747"/>
      <c r="CK64" s="756"/>
      <c r="CL64" s="746"/>
      <c r="CM64" s="747"/>
      <c r="CN64" s="747"/>
      <c r="CO64" s="756"/>
      <c r="CP64" s="746"/>
      <c r="CQ64" s="747"/>
      <c r="CR64" s="747"/>
      <c r="CS64" s="756"/>
    </row>
    <row r="65" spans="1:97" ht="16.5">
      <c r="A65" s="1104" t="s">
        <v>256</v>
      </c>
      <c r="B65" s="757"/>
      <c r="C65" s="747"/>
      <c r="D65" s="758"/>
      <c r="E65" s="748"/>
      <c r="F65" s="755"/>
      <c r="G65" s="747"/>
      <c r="H65" s="747"/>
      <c r="I65" s="756"/>
      <c r="J65" s="746"/>
      <c r="K65" s="747"/>
      <c r="L65" s="747"/>
      <c r="M65" s="756"/>
      <c r="N65" s="746"/>
      <c r="O65" s="747"/>
      <c r="P65" s="747"/>
      <c r="Q65" s="778"/>
      <c r="R65" s="755"/>
      <c r="S65" s="747"/>
      <c r="T65" s="747"/>
      <c r="U65" s="756"/>
      <c r="V65" s="746"/>
      <c r="W65" s="747"/>
      <c r="X65" s="747"/>
      <c r="Y65" s="756"/>
      <c r="Z65" s="746"/>
      <c r="AA65" s="747"/>
      <c r="AB65" s="747"/>
      <c r="AC65" s="756"/>
      <c r="AD65" s="746"/>
      <c r="AE65" s="747"/>
      <c r="AF65" s="747"/>
      <c r="AG65" s="756"/>
      <c r="AH65" s="746"/>
      <c r="AI65" s="747"/>
      <c r="AJ65" s="747"/>
      <c r="AK65" s="756"/>
      <c r="AL65" s="746"/>
      <c r="AM65" s="747"/>
      <c r="AN65" s="747"/>
      <c r="AO65" s="756"/>
      <c r="AP65" s="746"/>
      <c r="AQ65" s="747"/>
      <c r="AR65" s="747"/>
      <c r="AS65" s="756"/>
      <c r="AT65" s="746"/>
      <c r="AU65" s="747"/>
      <c r="AV65" s="747"/>
      <c r="AW65" s="756"/>
      <c r="AX65" s="746"/>
      <c r="AY65" s="747"/>
      <c r="AZ65" s="747"/>
      <c r="BA65" s="756"/>
      <c r="BB65" s="746"/>
      <c r="BC65" s="747"/>
      <c r="BD65" s="747"/>
      <c r="BE65" s="756"/>
      <c r="BF65" s="746">
        <v>1</v>
      </c>
      <c r="BG65" s="747"/>
      <c r="BH65" s="747"/>
      <c r="BI65" s="756">
        <v>1.3</v>
      </c>
      <c r="BJ65" s="746"/>
      <c r="BK65" s="747"/>
      <c r="BL65" s="747"/>
      <c r="BM65" s="756"/>
      <c r="BN65" s="746"/>
      <c r="BO65" s="747"/>
      <c r="BP65" s="747"/>
      <c r="BQ65" s="756"/>
      <c r="BR65" s="746"/>
      <c r="BS65" s="747"/>
      <c r="BT65" s="747"/>
      <c r="BU65" s="756"/>
      <c r="BV65" s="746"/>
      <c r="BW65" s="747"/>
      <c r="BX65" s="747"/>
      <c r="BY65" s="756"/>
      <c r="BZ65" s="746"/>
      <c r="CA65" s="747"/>
      <c r="CB65" s="747"/>
      <c r="CC65" s="756"/>
      <c r="CD65" s="746"/>
      <c r="CE65" s="747"/>
      <c r="CF65" s="747"/>
      <c r="CG65" s="756"/>
      <c r="CH65" s="746"/>
      <c r="CI65" s="747"/>
      <c r="CJ65" s="747"/>
      <c r="CK65" s="756"/>
      <c r="CL65" s="746"/>
      <c r="CM65" s="747"/>
      <c r="CN65" s="747"/>
      <c r="CO65" s="756"/>
      <c r="CP65" s="746"/>
      <c r="CQ65" s="747"/>
      <c r="CR65" s="747"/>
      <c r="CS65" s="756"/>
    </row>
    <row r="66" spans="1:97" ht="16.5">
      <c r="A66" s="1104" t="s">
        <v>257</v>
      </c>
      <c r="B66" s="757"/>
      <c r="C66" s="747"/>
      <c r="D66" s="758"/>
      <c r="E66" s="748"/>
      <c r="F66" s="755"/>
      <c r="G66" s="747"/>
      <c r="H66" s="747"/>
      <c r="I66" s="756"/>
      <c r="J66" s="746"/>
      <c r="K66" s="747"/>
      <c r="L66" s="747"/>
      <c r="M66" s="756"/>
      <c r="N66" s="746"/>
      <c r="O66" s="747"/>
      <c r="P66" s="747"/>
      <c r="Q66" s="778"/>
      <c r="R66" s="755"/>
      <c r="S66" s="747"/>
      <c r="T66" s="747"/>
      <c r="U66" s="756"/>
      <c r="V66" s="746"/>
      <c r="W66" s="747"/>
      <c r="X66" s="747"/>
      <c r="Y66" s="756"/>
      <c r="Z66" s="746"/>
      <c r="AA66" s="747"/>
      <c r="AB66" s="747"/>
      <c r="AC66" s="756"/>
      <c r="AD66" s="746"/>
      <c r="AE66" s="747"/>
      <c r="AF66" s="747"/>
      <c r="AG66" s="756"/>
      <c r="AH66" s="746"/>
      <c r="AI66" s="747"/>
      <c r="AJ66" s="747"/>
      <c r="AK66" s="756"/>
      <c r="AL66" s="746"/>
      <c r="AM66" s="747"/>
      <c r="AN66" s="747"/>
      <c r="AO66" s="756"/>
      <c r="AP66" s="746"/>
      <c r="AQ66" s="747"/>
      <c r="AR66" s="747"/>
      <c r="AS66" s="756"/>
      <c r="AT66" s="746"/>
      <c r="AU66" s="747"/>
      <c r="AV66" s="747"/>
      <c r="AW66" s="756"/>
      <c r="AX66" s="746"/>
      <c r="AY66" s="747"/>
      <c r="AZ66" s="747"/>
      <c r="BA66" s="756"/>
      <c r="BB66" s="746"/>
      <c r="BC66" s="747"/>
      <c r="BD66" s="747"/>
      <c r="BE66" s="756"/>
      <c r="BF66" s="746">
        <v>3.45</v>
      </c>
      <c r="BG66" s="747"/>
      <c r="BH66" s="747">
        <v>-1</v>
      </c>
      <c r="BI66" s="756">
        <v>5.93</v>
      </c>
      <c r="BJ66" s="746"/>
      <c r="BK66" s="747"/>
      <c r="BL66" s="747"/>
      <c r="BM66" s="756"/>
      <c r="BN66" s="746"/>
      <c r="BO66" s="747"/>
      <c r="BP66" s="747"/>
      <c r="BQ66" s="756"/>
      <c r="BR66" s="746"/>
      <c r="BS66" s="747"/>
      <c r="BT66" s="747"/>
      <c r="BU66" s="756"/>
      <c r="BV66" s="746"/>
      <c r="BW66" s="747"/>
      <c r="BX66" s="747"/>
      <c r="BY66" s="756"/>
      <c r="BZ66" s="746"/>
      <c r="CA66" s="747"/>
      <c r="CB66" s="747"/>
      <c r="CC66" s="756"/>
      <c r="CD66" s="746"/>
      <c r="CE66" s="747"/>
      <c r="CF66" s="747"/>
      <c r="CG66" s="756"/>
      <c r="CH66" s="746"/>
      <c r="CI66" s="747"/>
      <c r="CJ66" s="747"/>
      <c r="CK66" s="756"/>
      <c r="CL66" s="746"/>
      <c r="CM66" s="747"/>
      <c r="CN66" s="747"/>
      <c r="CO66" s="756"/>
      <c r="CP66" s="746"/>
      <c r="CQ66" s="747"/>
      <c r="CR66" s="747"/>
      <c r="CS66" s="756"/>
    </row>
    <row r="67" spans="1:97" ht="17.25" thickBot="1">
      <c r="A67" s="1105" t="s">
        <v>258</v>
      </c>
      <c r="B67" s="764"/>
      <c r="C67" s="765"/>
      <c r="D67" s="766"/>
      <c r="E67" s="767"/>
      <c r="F67" s="768"/>
      <c r="G67" s="769"/>
      <c r="H67" s="765"/>
      <c r="I67" s="770"/>
      <c r="J67" s="771"/>
      <c r="K67" s="765"/>
      <c r="L67" s="765"/>
      <c r="M67" s="772"/>
      <c r="N67" s="773"/>
      <c r="O67" s="765"/>
      <c r="P67" s="765"/>
      <c r="Q67" s="1099"/>
      <c r="R67" s="779"/>
      <c r="S67" s="765"/>
      <c r="T67" s="765"/>
      <c r="U67" s="772"/>
      <c r="V67" s="773"/>
      <c r="W67" s="765"/>
      <c r="X67" s="765"/>
      <c r="Y67" s="772"/>
      <c r="Z67" s="773"/>
      <c r="AA67" s="765"/>
      <c r="AB67" s="765"/>
      <c r="AC67" s="772"/>
      <c r="AD67" s="773"/>
      <c r="AE67" s="765"/>
      <c r="AF67" s="765"/>
      <c r="AG67" s="772"/>
      <c r="AH67" s="773"/>
      <c r="AI67" s="765"/>
      <c r="AJ67" s="765"/>
      <c r="AK67" s="772"/>
      <c r="AL67" s="773"/>
      <c r="AM67" s="765"/>
      <c r="AN67" s="765"/>
      <c r="AO67" s="772"/>
      <c r="AP67" s="773"/>
      <c r="AQ67" s="765"/>
      <c r="AR67" s="765"/>
      <c r="AS67" s="772"/>
      <c r="AT67" s="773"/>
      <c r="AU67" s="765"/>
      <c r="AV67" s="765"/>
      <c r="AW67" s="772"/>
      <c r="AX67" s="773"/>
      <c r="AY67" s="765"/>
      <c r="AZ67" s="765"/>
      <c r="BA67" s="772"/>
      <c r="BB67" s="773"/>
      <c r="BC67" s="765"/>
      <c r="BD67" s="765"/>
      <c r="BE67" s="772"/>
      <c r="BF67" s="773">
        <v>46726.38</v>
      </c>
      <c r="BG67" s="765">
        <v>9</v>
      </c>
      <c r="BH67" s="765">
        <v>13299</v>
      </c>
      <c r="BI67" s="772">
        <v>46954.41</v>
      </c>
      <c r="BJ67" s="773"/>
      <c r="BK67" s="765"/>
      <c r="BL67" s="765"/>
      <c r="BM67" s="772"/>
      <c r="BN67" s="773"/>
      <c r="BO67" s="765"/>
      <c r="BP67" s="765"/>
      <c r="BQ67" s="772"/>
      <c r="BR67" s="773"/>
      <c r="BS67" s="765"/>
      <c r="BT67" s="765"/>
      <c r="BU67" s="772"/>
      <c r="BV67" s="773"/>
      <c r="BW67" s="765"/>
      <c r="BX67" s="765"/>
      <c r="BY67" s="772"/>
      <c r="BZ67" s="773"/>
      <c r="CA67" s="765"/>
      <c r="CB67" s="765"/>
      <c r="CC67" s="772"/>
      <c r="CD67" s="773"/>
      <c r="CE67" s="765"/>
      <c r="CF67" s="765"/>
      <c r="CG67" s="772"/>
      <c r="CH67" s="773"/>
      <c r="CI67" s="765"/>
      <c r="CJ67" s="765"/>
      <c r="CK67" s="772"/>
      <c r="CL67" s="773"/>
      <c r="CM67" s="765"/>
      <c r="CN67" s="765"/>
      <c r="CO67" s="772"/>
      <c r="CP67" s="773"/>
      <c r="CQ67" s="765"/>
      <c r="CR67" s="765"/>
      <c r="CS67" s="772"/>
    </row>
    <row r="68" spans="3:10" ht="16.5">
      <c r="C68" s="774"/>
      <c r="E68" s="774"/>
      <c r="F68" s="774"/>
      <c r="G68" s="774"/>
      <c r="I68" s="774"/>
      <c r="J68" s="774"/>
    </row>
    <row r="69" spans="3:10" ht="16.5">
      <c r="C69" s="774"/>
      <c r="E69" s="774"/>
      <c r="F69" s="774"/>
      <c r="G69" s="774"/>
      <c r="I69" s="774"/>
      <c r="J69" s="774"/>
    </row>
    <row r="70" spans="3:10" ht="16.5">
      <c r="C70" s="775"/>
      <c r="E70" s="775"/>
      <c r="F70" s="774"/>
      <c r="G70" s="774"/>
      <c r="I70" s="774"/>
      <c r="J70" s="774"/>
    </row>
    <row r="71" spans="3:10" ht="16.5">
      <c r="C71" s="774"/>
      <c r="E71" s="775"/>
      <c r="F71" s="774"/>
      <c r="G71" s="774"/>
      <c r="I71" s="774"/>
      <c r="J71" s="774"/>
    </row>
    <row r="72" spans="3:10" ht="16.5">
      <c r="C72" s="775"/>
      <c r="E72" s="775"/>
      <c r="F72" s="775"/>
      <c r="H72" s="775"/>
      <c r="I72" s="775"/>
      <c r="J72" s="775"/>
    </row>
    <row r="73" spans="3:10" ht="16.5">
      <c r="C73" s="774"/>
      <c r="E73" s="775"/>
      <c r="F73" s="774"/>
      <c r="G73" s="774"/>
      <c r="I73" s="774"/>
      <c r="J73" s="774"/>
    </row>
    <row r="75" spans="3:10" ht="16.5">
      <c r="C75" s="774"/>
      <c r="E75" s="774"/>
      <c r="G75" s="774"/>
      <c r="I75" s="774"/>
      <c r="J75" s="775"/>
    </row>
    <row r="76" spans="3:10" ht="16.5">
      <c r="C76" s="775"/>
      <c r="E76" s="775"/>
      <c r="G76" s="774"/>
      <c r="I76" s="774"/>
      <c r="J76" s="775"/>
    </row>
    <row r="78" spans="3:10" ht="16.5">
      <c r="C78" s="774"/>
      <c r="E78" s="775"/>
      <c r="F78" s="775"/>
      <c r="H78" s="775"/>
      <c r="I78" s="775"/>
      <c r="J78" s="775"/>
    </row>
    <row r="79" spans="3:10" ht="16.5">
      <c r="C79" s="775"/>
      <c r="E79" s="775"/>
      <c r="F79" s="775"/>
      <c r="H79" s="775"/>
      <c r="I79" s="775"/>
      <c r="J79" s="775"/>
    </row>
    <row r="80" spans="3:10" ht="16.5">
      <c r="C80" s="775"/>
      <c r="E80" s="775"/>
      <c r="F80" s="775"/>
      <c r="H80" s="775"/>
      <c r="I80" s="775"/>
      <c r="J80" s="775"/>
    </row>
    <row r="81" spans="3:10" ht="16.5">
      <c r="C81" s="775"/>
      <c r="E81" s="775"/>
      <c r="F81" s="775"/>
      <c r="H81" s="775"/>
      <c r="I81" s="775"/>
      <c r="J81" s="775"/>
    </row>
    <row r="82" spans="3:10" ht="16.5">
      <c r="C82" s="775"/>
      <c r="E82" s="775"/>
      <c r="F82" s="775"/>
      <c r="H82" s="775"/>
      <c r="I82" s="775"/>
      <c r="J82" s="775"/>
    </row>
    <row r="85" spans="3:10" ht="16.5">
      <c r="C85" s="775"/>
      <c r="E85" s="775"/>
      <c r="F85" s="775"/>
      <c r="H85" s="775"/>
      <c r="I85" s="775"/>
      <c r="J85" s="774"/>
    </row>
    <row r="86" spans="3:10" ht="16.5">
      <c r="C86" s="775"/>
      <c r="E86" s="774"/>
      <c r="F86" s="775"/>
      <c r="H86" s="775"/>
      <c r="I86" s="775"/>
      <c r="J86" s="775"/>
    </row>
    <row r="87" spans="3:10" ht="16.5">
      <c r="C87" s="775"/>
      <c r="E87" s="774"/>
      <c r="F87" s="774"/>
      <c r="H87" s="775"/>
      <c r="I87" s="774"/>
      <c r="J87" s="774"/>
    </row>
    <row r="88" spans="3:10" ht="16.5">
      <c r="C88" s="775"/>
      <c r="E88" s="775"/>
      <c r="F88" s="774"/>
      <c r="H88" s="775"/>
      <c r="I88" s="774"/>
      <c r="J88" s="774"/>
    </row>
    <row r="89" spans="3:10" ht="16.5">
      <c r="C89" s="775"/>
      <c r="E89" s="775"/>
      <c r="F89" s="775"/>
      <c r="H89" s="775"/>
      <c r="I89" s="775"/>
      <c r="J89" s="775"/>
    </row>
    <row r="90" spans="3:10" ht="16.5">
      <c r="C90" s="775"/>
      <c r="E90" s="775"/>
      <c r="F90" s="775"/>
      <c r="H90" s="775"/>
      <c r="I90" s="775"/>
      <c r="J90" s="775"/>
    </row>
    <row r="91" spans="3:10" ht="16.5">
      <c r="C91" s="775"/>
      <c r="E91" s="775"/>
      <c r="F91" s="774"/>
      <c r="H91" s="775"/>
      <c r="I91" s="774"/>
      <c r="J91" s="774"/>
    </row>
    <row r="93" spans="3:10" ht="16.5">
      <c r="C93" s="775"/>
      <c r="E93" s="775"/>
      <c r="F93" s="775"/>
      <c r="H93" s="775"/>
      <c r="I93" s="775"/>
      <c r="J93" s="775"/>
    </row>
    <row r="94" spans="3:10" ht="16.5">
      <c r="C94" s="775"/>
      <c r="E94" s="775"/>
      <c r="F94" s="775"/>
      <c r="H94" s="775"/>
      <c r="I94" s="775"/>
      <c r="J94" s="775"/>
    </row>
    <row r="95" spans="3:10" ht="16.5">
      <c r="C95" s="775"/>
      <c r="E95" s="775"/>
      <c r="F95" s="775"/>
      <c r="H95" s="775"/>
      <c r="I95" s="775"/>
      <c r="J95" s="775"/>
    </row>
    <row r="96" spans="3:10" ht="16.5">
      <c r="C96" s="775"/>
      <c r="E96" s="775"/>
      <c r="F96" s="775"/>
      <c r="H96" s="775"/>
      <c r="I96" s="775"/>
      <c r="J96" s="775"/>
    </row>
    <row r="97" spans="3:10" ht="16.5">
      <c r="C97" s="775"/>
      <c r="E97" s="775"/>
      <c r="F97" s="775"/>
      <c r="H97" s="775"/>
      <c r="I97" s="775"/>
      <c r="J97" s="775"/>
    </row>
    <row r="98" spans="3:10" ht="16.5">
      <c r="C98" s="775"/>
      <c r="E98" s="775"/>
      <c r="F98" s="775"/>
      <c r="H98" s="775"/>
      <c r="I98" s="775"/>
      <c r="J98" s="775"/>
    </row>
    <row r="99" spans="3:10" ht="16.5">
      <c r="C99" s="775"/>
      <c r="E99" s="775"/>
      <c r="F99" s="775"/>
      <c r="H99" s="775"/>
      <c r="I99" s="775"/>
      <c r="J99" s="775"/>
    </row>
    <row r="102" spans="3:10" ht="16.5">
      <c r="C102" s="776"/>
      <c r="E102" s="776"/>
      <c r="G102" s="776"/>
      <c r="I102" s="776"/>
      <c r="J102" s="776"/>
    </row>
    <row r="103" spans="3:10" ht="16.5">
      <c r="C103" s="774"/>
      <c r="E103" s="774"/>
      <c r="G103" s="776"/>
      <c r="I103" s="776"/>
      <c r="J103" s="776"/>
    </row>
    <row r="104" spans="3:10" ht="16.5">
      <c r="C104" s="776"/>
      <c r="E104" s="776"/>
      <c r="G104" s="776"/>
      <c r="I104" s="776"/>
      <c r="J104" s="776"/>
    </row>
    <row r="105" spans="3:10" ht="16.5">
      <c r="C105" s="774"/>
      <c r="E105" s="774"/>
      <c r="G105" s="776"/>
      <c r="I105" s="776"/>
      <c r="J105" s="776"/>
    </row>
    <row r="106" spans="3:10" ht="16.5">
      <c r="C106" s="774"/>
      <c r="E106" s="774"/>
      <c r="G106" s="776"/>
      <c r="I106" s="776"/>
      <c r="J106" s="776"/>
    </row>
    <row r="107" spans="3:10" ht="16.5">
      <c r="C107" s="774"/>
      <c r="E107" s="774"/>
      <c r="F107" s="774"/>
      <c r="G107" s="774"/>
      <c r="I107" s="774"/>
      <c r="J107" s="776"/>
    </row>
    <row r="108" spans="3:10" ht="16.5">
      <c r="C108" s="774"/>
      <c r="E108" s="774"/>
      <c r="G108" s="776"/>
      <c r="I108" s="776"/>
      <c r="J108" s="776"/>
    </row>
    <row r="111" spans="3:10" ht="16.5">
      <c r="C111" s="775"/>
      <c r="E111" s="775"/>
      <c r="F111" s="775"/>
      <c r="H111" s="775"/>
      <c r="I111" s="775"/>
      <c r="J111" s="775"/>
    </row>
    <row r="112" spans="3:10" ht="16.5">
      <c r="C112" s="775"/>
      <c r="E112" s="775"/>
      <c r="F112" s="775"/>
      <c r="H112" s="775"/>
      <c r="I112" s="775"/>
      <c r="J112" s="775"/>
    </row>
    <row r="113" spans="3:10" ht="16.5">
      <c r="C113" s="775"/>
      <c r="E113" s="775"/>
      <c r="F113" s="775"/>
      <c r="H113" s="775"/>
      <c r="I113" s="775"/>
      <c r="J113" s="775"/>
    </row>
    <row r="114" spans="3:10" ht="16.5">
      <c r="C114" s="775"/>
      <c r="E114" s="775"/>
      <c r="F114" s="775"/>
      <c r="H114" s="775"/>
      <c r="I114" s="775"/>
      <c r="J114" s="775"/>
    </row>
    <row r="115" spans="3:10" ht="16.5">
      <c r="C115" s="775"/>
      <c r="E115" s="775"/>
      <c r="F115" s="775"/>
      <c r="H115" s="775"/>
      <c r="I115" s="775"/>
      <c r="J115" s="775"/>
    </row>
    <row r="116" spans="3:10" ht="16.5">
      <c r="C116" s="775"/>
      <c r="E116" s="775"/>
      <c r="F116" s="775"/>
      <c r="H116" s="775"/>
      <c r="I116" s="775"/>
      <c r="J116" s="775"/>
    </row>
    <row r="117" spans="3:10" ht="16.5">
      <c r="C117" s="775"/>
      <c r="E117" s="775"/>
      <c r="F117" s="775"/>
      <c r="H117" s="775"/>
      <c r="I117" s="775"/>
      <c r="J117" s="775"/>
    </row>
    <row r="120" spans="2:10" ht="16.5">
      <c r="B120" s="774"/>
      <c r="C120" s="775"/>
      <c r="E120" s="776"/>
      <c r="F120" s="774"/>
      <c r="G120" s="774"/>
      <c r="I120" s="776"/>
      <c r="J120" s="776"/>
    </row>
    <row r="121" spans="3:10" ht="16.5">
      <c r="C121" s="775"/>
      <c r="E121" s="776"/>
      <c r="G121" s="774"/>
      <c r="I121" s="776"/>
      <c r="J121" s="776"/>
    </row>
    <row r="122" spans="3:10" ht="16.5">
      <c r="C122" s="775"/>
      <c r="E122" s="774"/>
      <c r="G122" s="774"/>
      <c r="I122" s="776"/>
      <c r="J122" s="776"/>
    </row>
    <row r="123" spans="3:10" ht="16.5">
      <c r="C123" s="775"/>
      <c r="E123" s="774"/>
      <c r="F123" s="774"/>
      <c r="G123" s="774"/>
      <c r="I123" s="776"/>
      <c r="J123" s="776"/>
    </row>
    <row r="124" spans="3:10" ht="16.5">
      <c r="C124" s="775"/>
      <c r="E124" s="776"/>
      <c r="F124" s="774"/>
      <c r="G124" s="774"/>
      <c r="I124" s="776"/>
      <c r="J124" s="776"/>
    </row>
    <row r="125" spans="3:10" ht="16.5">
      <c r="C125" s="775"/>
      <c r="E125" s="774"/>
      <c r="F125" s="774"/>
      <c r="G125" s="774"/>
      <c r="I125" s="776"/>
      <c r="J125" s="776"/>
    </row>
    <row r="126" spans="3:10" ht="16.5">
      <c r="C126" s="774"/>
      <c r="E126" s="776"/>
      <c r="G126" s="774"/>
      <c r="I126" s="776"/>
      <c r="J126" s="776"/>
    </row>
    <row r="128" spans="3:10" ht="16.5">
      <c r="C128" s="775"/>
      <c r="E128" s="775"/>
      <c r="F128" s="775"/>
      <c r="H128" s="775"/>
      <c r="I128" s="775"/>
      <c r="J128" s="775"/>
    </row>
    <row r="129" spans="3:10" ht="16.5">
      <c r="C129" s="775"/>
      <c r="E129" s="775"/>
      <c r="F129" s="775"/>
      <c r="H129" s="775"/>
      <c r="I129" s="775"/>
      <c r="J129" s="775"/>
    </row>
    <row r="130" spans="3:10" ht="16.5">
      <c r="C130" s="775"/>
      <c r="E130" s="775"/>
      <c r="F130" s="775"/>
      <c r="H130" s="775"/>
      <c r="I130" s="775"/>
      <c r="J130" s="775"/>
    </row>
    <row r="131" spans="3:10" ht="16.5">
      <c r="C131" s="775"/>
      <c r="E131" s="775"/>
      <c r="F131" s="775"/>
      <c r="H131" s="775"/>
      <c r="I131" s="775"/>
      <c r="J131" s="775"/>
    </row>
    <row r="132" spans="3:10" ht="16.5">
      <c r="C132" s="775"/>
      <c r="E132" s="775"/>
      <c r="F132" s="775"/>
      <c r="H132" s="775"/>
      <c r="I132" s="775"/>
      <c r="J132" s="775"/>
    </row>
    <row r="133" spans="3:10" ht="16.5">
      <c r="C133" s="775"/>
      <c r="E133" s="775"/>
      <c r="F133" s="775"/>
      <c r="H133" s="775"/>
      <c r="I133" s="775"/>
      <c r="J133" s="775"/>
    </row>
    <row r="134" spans="3:10" ht="16.5">
      <c r="C134" s="775"/>
      <c r="E134" s="775"/>
      <c r="F134" s="775"/>
      <c r="H134" s="775"/>
      <c r="I134" s="775"/>
      <c r="J134" s="775"/>
    </row>
    <row r="138" spans="1:10" ht="16.5">
      <c r="A138" s="1100"/>
      <c r="J138" s="777"/>
    </row>
    <row r="203" ht="16.5">
      <c r="A203" s="1100" t="s">
        <v>273</v>
      </c>
    </row>
  </sheetData>
  <sheetProtection/>
  <mergeCells count="24">
    <mergeCell ref="BV2:BY2"/>
    <mergeCell ref="BZ2:CC2"/>
    <mergeCell ref="CD2:CG2"/>
    <mergeCell ref="CH2:CK2"/>
    <mergeCell ref="CL2:CO2"/>
    <mergeCell ref="CP2:CS2"/>
    <mergeCell ref="AX2:BA2"/>
    <mergeCell ref="BB2:BE2"/>
    <mergeCell ref="BF2:BI2"/>
    <mergeCell ref="BJ2:BM2"/>
    <mergeCell ref="BN2:BQ2"/>
    <mergeCell ref="BR2:BU2"/>
    <mergeCell ref="Z2:AC2"/>
    <mergeCell ref="AD2:AG2"/>
    <mergeCell ref="AH2:AK2"/>
    <mergeCell ref="AL2:AO2"/>
    <mergeCell ref="AP2:AS2"/>
    <mergeCell ref="AT2:AW2"/>
    <mergeCell ref="B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21" sqref="B21"/>
    </sheetView>
  </sheetViews>
  <sheetFormatPr defaultColWidth="9.140625" defaultRowHeight="15"/>
  <cols>
    <col min="1" max="1" width="23.7109375" style="61" customWidth="1"/>
    <col min="2" max="2" width="12.421875" style="61" customWidth="1"/>
    <col min="3" max="3" width="12.421875" style="61" bestFit="1" customWidth="1"/>
    <col min="4" max="4" width="11.421875" style="61" bestFit="1" customWidth="1"/>
    <col min="5" max="5" width="12.421875" style="61" bestFit="1" customWidth="1"/>
    <col min="6" max="6" width="11.421875" style="61" bestFit="1" customWidth="1"/>
    <col min="7" max="7" width="12.421875" style="61" bestFit="1" customWidth="1"/>
    <col min="8" max="8" width="11.421875" style="61" bestFit="1" customWidth="1"/>
    <col min="9" max="9" width="12.421875" style="61" bestFit="1" customWidth="1"/>
    <col min="10" max="10" width="11.421875" style="61" bestFit="1" customWidth="1"/>
    <col min="11" max="11" width="12.421875" style="61" bestFit="1" customWidth="1"/>
    <col min="12" max="12" width="11.421875" style="61" bestFit="1" customWidth="1"/>
    <col min="13" max="13" width="12.421875" style="61" bestFit="1" customWidth="1"/>
    <col min="14" max="14" width="11.421875" style="61" bestFit="1" customWidth="1"/>
    <col min="15" max="15" width="12.421875" style="61" bestFit="1" customWidth="1"/>
    <col min="16" max="16" width="11.421875" style="61" bestFit="1" customWidth="1"/>
    <col min="17" max="17" width="12.421875" style="61" bestFit="1" customWidth="1"/>
    <col min="18" max="18" width="11.421875" style="61" bestFit="1" customWidth="1"/>
    <col min="19" max="19" width="12.421875" style="61" bestFit="1" customWidth="1"/>
    <col min="20" max="20" width="8.57421875" style="61" customWidth="1"/>
    <col min="21" max="21" width="10.28125" style="61" customWidth="1"/>
    <col min="22" max="22" width="11.421875" style="61" bestFit="1" customWidth="1"/>
    <col min="23" max="23" width="12.421875" style="61" bestFit="1" customWidth="1"/>
    <col min="24" max="24" width="11.421875" style="61" bestFit="1" customWidth="1"/>
    <col min="25" max="25" width="12.421875" style="61" bestFit="1" customWidth="1"/>
    <col min="26" max="26" width="11.421875" style="61" bestFit="1" customWidth="1"/>
    <col min="27" max="27" width="12.421875" style="61" bestFit="1" customWidth="1"/>
    <col min="28" max="28" width="11.421875" style="61" bestFit="1" customWidth="1"/>
    <col min="29" max="29" width="12.421875" style="61" bestFit="1" customWidth="1"/>
    <col min="30" max="30" width="11.421875" style="61" bestFit="1" customWidth="1"/>
    <col min="31" max="31" width="12.421875" style="61" bestFit="1" customWidth="1"/>
    <col min="32" max="32" width="11.421875" style="61" bestFit="1" customWidth="1"/>
    <col min="33" max="33" width="12.421875" style="61" bestFit="1" customWidth="1"/>
    <col min="34" max="34" width="11.421875" style="61" bestFit="1" customWidth="1"/>
    <col min="35" max="35" width="11.28125" style="61" customWidth="1"/>
    <col min="36" max="36" width="11.421875" style="61" bestFit="1" customWidth="1"/>
    <col min="37" max="37" width="12.421875" style="61" bestFit="1" customWidth="1"/>
    <col min="38" max="38" width="11.421875" style="61" bestFit="1" customWidth="1"/>
    <col min="39" max="39" width="12.421875" style="61" bestFit="1" customWidth="1"/>
    <col min="40" max="40" width="11.421875" style="61" bestFit="1" customWidth="1"/>
    <col min="41" max="41" width="12.421875" style="61" bestFit="1" customWidth="1"/>
    <col min="42" max="42" width="11.421875" style="61" bestFit="1" customWidth="1"/>
    <col min="43" max="43" width="12.421875" style="61" bestFit="1" customWidth="1"/>
    <col min="44" max="44" width="11.421875" style="61" bestFit="1" customWidth="1"/>
    <col min="45" max="45" width="12.421875" style="61" bestFit="1" customWidth="1"/>
    <col min="46" max="46" width="11.421875" style="61" bestFit="1" customWidth="1"/>
    <col min="47" max="47" width="12.421875" style="61" bestFit="1" customWidth="1"/>
    <col min="48" max="48" width="11.421875" style="61" bestFit="1" customWidth="1"/>
    <col min="49" max="49" width="12.421875" style="61" bestFit="1" customWidth="1"/>
    <col min="50" max="50" width="11.421875" style="61" bestFit="1" customWidth="1"/>
    <col min="51" max="51" width="12.421875" style="61" bestFit="1" customWidth="1"/>
    <col min="52" max="52" width="11.421875" style="61" bestFit="1" customWidth="1"/>
    <col min="53" max="53" width="12.421875" style="61" bestFit="1" customWidth="1"/>
    <col min="54" max="16384" width="9.140625" style="61" customWidth="1"/>
  </cols>
  <sheetData>
    <row r="1" spans="1:52" ht="13.5">
      <c r="A1" s="1271" t="s">
        <v>217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  <c r="P1" s="1271"/>
      <c r="Q1" s="1271"/>
      <c r="R1" s="1271"/>
      <c r="S1" s="1271"/>
      <c r="T1" s="1271"/>
      <c r="U1" s="1271"/>
      <c r="V1" s="1271"/>
      <c r="W1" s="1271"/>
      <c r="X1" s="1271"/>
      <c r="Y1" s="1271"/>
      <c r="Z1" s="1271"/>
      <c r="AA1" s="1271"/>
      <c r="AB1" s="1271"/>
      <c r="AC1" s="1271"/>
      <c r="AD1" s="1271"/>
      <c r="AE1" s="1271"/>
      <c r="AF1" s="1271"/>
      <c r="AG1" s="1271"/>
      <c r="AH1" s="1271"/>
      <c r="AI1" s="1271"/>
      <c r="AJ1" s="1271"/>
      <c r="AK1" s="1271"/>
      <c r="AL1" s="1271"/>
      <c r="AM1" s="1271"/>
      <c r="AN1" s="1271"/>
      <c r="AO1" s="1271"/>
      <c r="AP1" s="1271"/>
      <c r="AQ1" s="1271"/>
      <c r="AR1" s="1271"/>
      <c r="AS1" s="1271"/>
      <c r="AT1" s="1271"/>
      <c r="AU1" s="1271"/>
      <c r="AV1" s="1271"/>
      <c r="AW1" s="1271"/>
      <c r="AX1" s="1271"/>
      <c r="AY1" s="1271"/>
      <c r="AZ1" s="1271"/>
    </row>
    <row r="2" spans="1:52" ht="14.25" thickBot="1">
      <c r="A2" s="1173" t="s">
        <v>115</v>
      </c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1173"/>
      <c r="R2" s="1173"/>
      <c r="S2" s="1173"/>
      <c r="T2" s="1173"/>
      <c r="U2" s="1173"/>
      <c r="V2" s="1173"/>
      <c r="W2" s="1173"/>
      <c r="X2" s="1173"/>
      <c r="Y2" s="1173"/>
      <c r="Z2" s="1173"/>
      <c r="AA2" s="1173"/>
      <c r="AB2" s="1173"/>
      <c r="AC2" s="1173"/>
      <c r="AD2" s="1173"/>
      <c r="AE2" s="1173"/>
      <c r="AF2" s="1173"/>
      <c r="AG2" s="1173"/>
      <c r="AH2" s="1173"/>
      <c r="AI2" s="1173"/>
      <c r="AJ2" s="1173"/>
      <c r="AK2" s="1173"/>
      <c r="AL2" s="1173"/>
      <c r="AM2" s="1173"/>
      <c r="AN2" s="1173"/>
      <c r="AO2" s="1173"/>
      <c r="AP2" s="1173"/>
      <c r="AQ2" s="1173"/>
      <c r="AR2" s="1173"/>
      <c r="AS2" s="1173"/>
      <c r="AT2" s="1173"/>
      <c r="AU2" s="1173"/>
      <c r="AV2" s="1173"/>
      <c r="AW2" s="1173"/>
      <c r="AX2" s="1173"/>
      <c r="AY2" s="1173"/>
      <c r="AZ2" s="1173"/>
    </row>
    <row r="3" spans="1:53" s="440" customFormat="1" ht="14.25" thickBot="1">
      <c r="A3" s="1272" t="s">
        <v>0</v>
      </c>
      <c r="B3" s="1274" t="s">
        <v>117</v>
      </c>
      <c r="C3" s="1275"/>
      <c r="D3" s="1265" t="s">
        <v>118</v>
      </c>
      <c r="E3" s="1266"/>
      <c r="F3" s="1265" t="s">
        <v>119</v>
      </c>
      <c r="G3" s="1267"/>
      <c r="H3" s="1276" t="s">
        <v>120</v>
      </c>
      <c r="I3" s="1277"/>
      <c r="J3" s="1265" t="s">
        <v>121</v>
      </c>
      <c r="K3" s="1266"/>
      <c r="L3" s="1267" t="s">
        <v>122</v>
      </c>
      <c r="M3" s="1267"/>
      <c r="N3" s="1268" t="s">
        <v>123</v>
      </c>
      <c r="O3" s="1269"/>
      <c r="P3" s="1268" t="s">
        <v>124</v>
      </c>
      <c r="Q3" s="1269"/>
      <c r="R3" s="1268" t="s">
        <v>125</v>
      </c>
      <c r="S3" s="1269"/>
      <c r="T3" s="1267" t="s">
        <v>126</v>
      </c>
      <c r="U3" s="1267"/>
      <c r="V3" s="1265" t="s">
        <v>127</v>
      </c>
      <c r="W3" s="1267"/>
      <c r="X3" s="1265" t="s">
        <v>128</v>
      </c>
      <c r="Y3" s="1267"/>
      <c r="Z3" s="1265" t="s">
        <v>129</v>
      </c>
      <c r="AA3" s="1267"/>
      <c r="AB3" s="1268" t="s">
        <v>130</v>
      </c>
      <c r="AC3" s="1269"/>
      <c r="AD3" s="1270" t="s">
        <v>131</v>
      </c>
      <c r="AE3" s="1270"/>
      <c r="AF3" s="1265" t="s">
        <v>132</v>
      </c>
      <c r="AG3" s="1267"/>
      <c r="AH3" s="1265" t="s">
        <v>133</v>
      </c>
      <c r="AI3" s="1267"/>
      <c r="AJ3" s="1265" t="s">
        <v>134</v>
      </c>
      <c r="AK3" s="1267"/>
      <c r="AL3" s="1280" t="s">
        <v>135</v>
      </c>
      <c r="AM3" s="1270"/>
      <c r="AN3" s="1265" t="s">
        <v>136</v>
      </c>
      <c r="AO3" s="1267"/>
      <c r="AP3" s="1265" t="s">
        <v>137</v>
      </c>
      <c r="AQ3" s="1267"/>
      <c r="AR3" s="1265" t="s">
        <v>138</v>
      </c>
      <c r="AS3" s="1267"/>
      <c r="AT3" s="1267" t="s">
        <v>139</v>
      </c>
      <c r="AU3" s="1267"/>
      <c r="AV3" s="1265" t="s">
        <v>1</v>
      </c>
      <c r="AW3" s="1267"/>
      <c r="AX3" s="1280" t="s">
        <v>140</v>
      </c>
      <c r="AY3" s="1270"/>
      <c r="AZ3" s="1278" t="s">
        <v>2</v>
      </c>
      <c r="BA3" s="1279"/>
    </row>
    <row r="4" spans="1:53" s="297" customFormat="1" ht="15" thickBot="1">
      <c r="A4" s="1273"/>
      <c r="B4" s="373" t="s">
        <v>297</v>
      </c>
      <c r="C4" s="374" t="s">
        <v>298</v>
      </c>
      <c r="D4" s="373" t="s">
        <v>297</v>
      </c>
      <c r="E4" s="375" t="s">
        <v>298</v>
      </c>
      <c r="F4" s="373" t="s">
        <v>297</v>
      </c>
      <c r="G4" s="374" t="s">
        <v>298</v>
      </c>
      <c r="H4" s="373" t="s">
        <v>297</v>
      </c>
      <c r="I4" s="374" t="s">
        <v>298</v>
      </c>
      <c r="J4" s="373" t="s">
        <v>297</v>
      </c>
      <c r="K4" s="375" t="s">
        <v>298</v>
      </c>
      <c r="L4" s="374" t="s">
        <v>297</v>
      </c>
      <c r="M4" s="374" t="s">
        <v>298</v>
      </c>
      <c r="N4" s="373" t="s">
        <v>297</v>
      </c>
      <c r="O4" s="374" t="s">
        <v>298</v>
      </c>
      <c r="P4" s="373" t="s">
        <v>297</v>
      </c>
      <c r="Q4" s="374" t="s">
        <v>298</v>
      </c>
      <c r="R4" s="373" t="s">
        <v>297</v>
      </c>
      <c r="S4" s="374" t="s">
        <v>298</v>
      </c>
      <c r="T4" s="373" t="s">
        <v>297</v>
      </c>
      <c r="U4" s="374" t="s">
        <v>298</v>
      </c>
      <c r="V4" s="373" t="s">
        <v>297</v>
      </c>
      <c r="W4" s="374" t="s">
        <v>298</v>
      </c>
      <c r="X4" s="373" t="s">
        <v>297</v>
      </c>
      <c r="Y4" s="374" t="s">
        <v>298</v>
      </c>
      <c r="Z4" s="373" t="s">
        <v>297</v>
      </c>
      <c r="AA4" s="374" t="s">
        <v>298</v>
      </c>
      <c r="AB4" s="373" t="s">
        <v>297</v>
      </c>
      <c r="AC4" s="374" t="s">
        <v>298</v>
      </c>
      <c r="AD4" s="373" t="s">
        <v>297</v>
      </c>
      <c r="AE4" s="374" t="s">
        <v>298</v>
      </c>
      <c r="AF4" s="373" t="s">
        <v>297</v>
      </c>
      <c r="AG4" s="374" t="s">
        <v>298</v>
      </c>
      <c r="AH4" s="373" t="s">
        <v>297</v>
      </c>
      <c r="AI4" s="374" t="s">
        <v>298</v>
      </c>
      <c r="AJ4" s="373" t="s">
        <v>297</v>
      </c>
      <c r="AK4" s="374" t="s">
        <v>298</v>
      </c>
      <c r="AL4" s="373" t="s">
        <v>297</v>
      </c>
      <c r="AM4" s="374" t="s">
        <v>298</v>
      </c>
      <c r="AN4" s="373" t="s">
        <v>297</v>
      </c>
      <c r="AO4" s="374" t="s">
        <v>298</v>
      </c>
      <c r="AP4" s="373" t="s">
        <v>297</v>
      </c>
      <c r="AQ4" s="374" t="s">
        <v>298</v>
      </c>
      <c r="AR4" s="373" t="s">
        <v>297</v>
      </c>
      <c r="AS4" s="374" t="s">
        <v>298</v>
      </c>
      <c r="AT4" s="373" t="s">
        <v>297</v>
      </c>
      <c r="AU4" s="374" t="s">
        <v>298</v>
      </c>
      <c r="AV4" s="373" t="s">
        <v>297</v>
      </c>
      <c r="AW4" s="374" t="s">
        <v>298</v>
      </c>
      <c r="AX4" s="373" t="s">
        <v>297</v>
      </c>
      <c r="AY4" s="374" t="s">
        <v>298</v>
      </c>
      <c r="AZ4" s="373" t="s">
        <v>297</v>
      </c>
      <c r="BA4" s="375" t="s">
        <v>298</v>
      </c>
    </row>
    <row r="5" spans="1:53" s="65" customFormat="1" ht="15" customHeight="1">
      <c r="A5" s="73" t="s">
        <v>3</v>
      </c>
      <c r="B5" s="242">
        <v>29.08</v>
      </c>
      <c r="C5" s="241">
        <v>34.68</v>
      </c>
      <c r="D5" s="238"/>
      <c r="E5" s="240"/>
      <c r="F5" s="238">
        <v>0.0032</v>
      </c>
      <c r="G5" s="239">
        <v>0.013</v>
      </c>
      <c r="H5" s="238">
        <v>0</v>
      </c>
      <c r="I5" s="241">
        <v>4</v>
      </c>
      <c r="J5" s="568"/>
      <c r="K5" s="781"/>
      <c r="L5" s="242"/>
      <c r="M5" s="239"/>
      <c r="N5" s="238"/>
      <c r="O5" s="239"/>
      <c r="P5" s="238"/>
      <c r="Q5" s="239">
        <v>0.35</v>
      </c>
      <c r="R5" s="785"/>
      <c r="S5" s="582"/>
      <c r="T5" s="242">
        <v>0.81</v>
      </c>
      <c r="U5" s="239">
        <v>0.85</v>
      </c>
      <c r="V5" s="238">
        <v>0.17</v>
      </c>
      <c r="W5" s="239">
        <v>0.96</v>
      </c>
      <c r="X5" s="238">
        <v>1</v>
      </c>
      <c r="Y5" s="239">
        <v>7</v>
      </c>
      <c r="Z5" s="238"/>
      <c r="AA5" s="239"/>
      <c r="AB5" s="250"/>
      <c r="AC5" s="261"/>
      <c r="AD5" s="242">
        <v>-0.0001</v>
      </c>
      <c r="AE5" s="239">
        <v>0.0055</v>
      </c>
      <c r="AF5" s="238">
        <v>1</v>
      </c>
      <c r="AG5" s="239">
        <v>3.1</v>
      </c>
      <c r="AH5" s="242">
        <v>0.03</v>
      </c>
      <c r="AI5" s="239">
        <v>0.06</v>
      </c>
      <c r="AJ5" s="238"/>
      <c r="AK5" s="239"/>
      <c r="AL5" s="238"/>
      <c r="AM5" s="239"/>
      <c r="AN5" s="600">
        <v>5</v>
      </c>
      <c r="AO5" s="601">
        <v>55</v>
      </c>
      <c r="AP5" s="242"/>
      <c r="AQ5" s="239"/>
      <c r="AR5" s="238">
        <v>0.0002</v>
      </c>
      <c r="AS5" s="239">
        <v>0.0006</v>
      </c>
      <c r="AT5" s="568">
        <v>1.02</v>
      </c>
      <c r="AU5" s="582">
        <v>4.4</v>
      </c>
      <c r="AV5" s="236">
        <f aca="true" t="shared" si="0" ref="AV5:AV14">SUM(B5+D5+F5+H5+J5+L5+N5+P5+R5+T5+V5+X5+Z5+P5+AD5+AF5+AH5+AJ5+AL5+AN5+AP5+AR5+B5)</f>
        <v>66.1733</v>
      </c>
      <c r="AW5" s="606">
        <f aca="true" t="shared" si="1" ref="AW5:AW14">SUM(C5+E5+G5+I5+K5+M5+O5+Q5+S5+U5+W5+Y5+AA5+Q5+AE5+AG5+AI5+AK5+AM5+AO5+AQ5+AS5+C5)</f>
        <v>141.0491</v>
      </c>
      <c r="AX5" s="238">
        <v>414.57</v>
      </c>
      <c r="AY5" s="239">
        <v>1620.53</v>
      </c>
      <c r="AZ5" s="236">
        <f aca="true" t="shared" si="2" ref="AZ5:AZ14">AV5+AX5</f>
        <v>480.7433</v>
      </c>
      <c r="BA5" s="237">
        <f aca="true" t="shared" si="3" ref="BA5:BA14">AW5+AY5</f>
        <v>1761.5791</v>
      </c>
    </row>
    <row r="6" spans="1:53" s="65" customFormat="1" ht="13.5">
      <c r="A6" s="73" t="s">
        <v>4</v>
      </c>
      <c r="B6" s="19">
        <v>3.44</v>
      </c>
      <c r="C6" s="241">
        <v>14.34</v>
      </c>
      <c r="D6" s="3"/>
      <c r="E6" s="5"/>
      <c r="F6" s="3"/>
      <c r="G6" s="239"/>
      <c r="H6" s="3">
        <v>243</v>
      </c>
      <c r="I6" s="241">
        <v>521</v>
      </c>
      <c r="J6" s="249">
        <v>0</v>
      </c>
      <c r="K6" s="260">
        <v>0</v>
      </c>
      <c r="L6" s="19">
        <v>19.17</v>
      </c>
      <c r="M6" s="4">
        <v>112.71</v>
      </c>
      <c r="N6" s="3">
        <v>0.056</v>
      </c>
      <c r="O6" s="4">
        <v>0.12</v>
      </c>
      <c r="P6" s="3">
        <v>2</v>
      </c>
      <c r="Q6" s="4">
        <v>3.53</v>
      </c>
      <c r="R6" s="3">
        <v>0.03</v>
      </c>
      <c r="S6" s="4">
        <v>5.38</v>
      </c>
      <c r="T6" s="19">
        <v>18.73</v>
      </c>
      <c r="U6" s="239">
        <v>48.97</v>
      </c>
      <c r="V6" s="3">
        <v>374.43</v>
      </c>
      <c r="W6" s="4">
        <v>954.13</v>
      </c>
      <c r="X6" s="3">
        <v>211</v>
      </c>
      <c r="Y6" s="239">
        <v>538</v>
      </c>
      <c r="Z6" s="58">
        <v>32.62</v>
      </c>
      <c r="AA6" s="59">
        <v>93.42</v>
      </c>
      <c r="AB6" s="249">
        <v>58.34</v>
      </c>
      <c r="AC6" s="259">
        <v>129.08</v>
      </c>
      <c r="AD6" s="19">
        <v>33.12</v>
      </c>
      <c r="AE6" s="239">
        <v>111.47</v>
      </c>
      <c r="AF6" s="3">
        <v>92</v>
      </c>
      <c r="AG6" s="239">
        <v>221.79</v>
      </c>
      <c r="AH6" s="19">
        <v>88.86</v>
      </c>
      <c r="AI6" s="4">
        <v>234.15</v>
      </c>
      <c r="AJ6" s="3"/>
      <c r="AK6" s="4"/>
      <c r="AL6" s="72"/>
      <c r="AM6" s="4"/>
      <c r="AN6" s="602">
        <v>724</v>
      </c>
      <c r="AO6" s="598">
        <v>1844</v>
      </c>
      <c r="AP6" s="597"/>
      <c r="AQ6" s="67"/>
      <c r="AR6" s="68">
        <v>36.74</v>
      </c>
      <c r="AS6" s="69">
        <v>85.59</v>
      </c>
      <c r="AT6" s="249">
        <v>0.005</v>
      </c>
      <c r="AU6" s="607">
        <v>0.008</v>
      </c>
      <c r="AV6" s="236">
        <f t="shared" si="0"/>
        <v>1884.636</v>
      </c>
      <c r="AW6" s="606">
        <f t="shared" si="1"/>
        <v>4806.470000000001</v>
      </c>
      <c r="AX6" s="68">
        <v>1.89</v>
      </c>
      <c r="AY6" s="239">
        <v>4</v>
      </c>
      <c r="AZ6" s="56">
        <f t="shared" si="2"/>
        <v>1886.526</v>
      </c>
      <c r="BA6" s="64">
        <f t="shared" si="3"/>
        <v>4810.470000000001</v>
      </c>
    </row>
    <row r="7" spans="1:53" s="65" customFormat="1" ht="13.5">
      <c r="A7" s="73" t="s">
        <v>5</v>
      </c>
      <c r="B7" s="19">
        <v>49.09</v>
      </c>
      <c r="C7" s="241">
        <v>82.89</v>
      </c>
      <c r="D7" s="3">
        <v>1.16</v>
      </c>
      <c r="E7" s="5">
        <v>1.16</v>
      </c>
      <c r="F7" s="3"/>
      <c r="G7" s="239"/>
      <c r="H7" s="3">
        <v>87</v>
      </c>
      <c r="I7" s="241">
        <v>286</v>
      </c>
      <c r="J7" s="249">
        <v>0</v>
      </c>
      <c r="K7" s="260">
        <v>0</v>
      </c>
      <c r="L7" s="19">
        <v>3.73</v>
      </c>
      <c r="M7" s="4">
        <v>8.69</v>
      </c>
      <c r="N7" s="3">
        <v>30.79</v>
      </c>
      <c r="O7" s="4">
        <v>83.92</v>
      </c>
      <c r="P7" s="3"/>
      <c r="Q7" s="4"/>
      <c r="R7" s="3"/>
      <c r="S7" s="4"/>
      <c r="T7" s="19">
        <v>0.02</v>
      </c>
      <c r="U7" s="239">
        <v>0.15</v>
      </c>
      <c r="V7" s="3">
        <v>348.77</v>
      </c>
      <c r="W7" s="4">
        <v>998.85</v>
      </c>
      <c r="X7" s="3">
        <v>27</v>
      </c>
      <c r="Y7" s="239">
        <v>64</v>
      </c>
      <c r="Z7" s="58"/>
      <c r="AA7" s="59"/>
      <c r="AB7" s="249"/>
      <c r="AC7" s="259"/>
      <c r="AD7" s="19">
        <v>34.73</v>
      </c>
      <c r="AE7" s="239">
        <v>103.96</v>
      </c>
      <c r="AF7" s="3"/>
      <c r="AG7" s="239"/>
      <c r="AH7" s="19">
        <v>-0.0002</v>
      </c>
      <c r="AI7" s="4">
        <v>0.01</v>
      </c>
      <c r="AJ7" s="3"/>
      <c r="AK7" s="4"/>
      <c r="AL7" s="72"/>
      <c r="AM7" s="4"/>
      <c r="AN7" s="602">
        <v>1</v>
      </c>
      <c r="AO7" s="598">
        <v>7</v>
      </c>
      <c r="AP7" s="597">
        <v>22.87</v>
      </c>
      <c r="AQ7" s="67">
        <v>74.43</v>
      </c>
      <c r="AR7" s="68"/>
      <c r="AS7" s="69"/>
      <c r="AT7" s="249"/>
      <c r="AU7" s="607"/>
      <c r="AV7" s="236">
        <f t="shared" si="0"/>
        <v>655.2498</v>
      </c>
      <c r="AW7" s="606">
        <f t="shared" si="1"/>
        <v>1793.9500000000003</v>
      </c>
      <c r="AX7" s="68">
        <v>3.02</v>
      </c>
      <c r="AY7" s="239">
        <v>35.9</v>
      </c>
      <c r="AZ7" s="56">
        <f t="shared" si="2"/>
        <v>658.2698</v>
      </c>
      <c r="BA7" s="64">
        <f t="shared" si="3"/>
        <v>1829.8500000000004</v>
      </c>
    </row>
    <row r="8" spans="1:53" s="65" customFormat="1" ht="13.5">
      <c r="A8" s="73" t="s">
        <v>6</v>
      </c>
      <c r="B8" s="19">
        <v>21.3</v>
      </c>
      <c r="C8" s="241">
        <v>69.54</v>
      </c>
      <c r="D8" s="3">
        <v>1.22</v>
      </c>
      <c r="E8" s="5">
        <v>6.61</v>
      </c>
      <c r="F8" s="3">
        <v>0.94</v>
      </c>
      <c r="G8" s="239">
        <v>4.9</v>
      </c>
      <c r="H8" s="3">
        <v>28</v>
      </c>
      <c r="I8" s="241">
        <v>55</v>
      </c>
      <c r="J8" s="249"/>
      <c r="K8" s="260"/>
      <c r="L8" s="19"/>
      <c r="M8" s="4">
        <v>0.2</v>
      </c>
      <c r="N8" s="3">
        <v>9.94</v>
      </c>
      <c r="O8" s="4">
        <v>31.07</v>
      </c>
      <c r="P8" s="3">
        <v>1</v>
      </c>
      <c r="Q8" s="4">
        <v>5.14</v>
      </c>
      <c r="R8" s="3">
        <v>20.2</v>
      </c>
      <c r="S8" s="4">
        <v>42.32</v>
      </c>
      <c r="T8" s="19">
        <v>2.95</v>
      </c>
      <c r="U8" s="239">
        <v>10.54</v>
      </c>
      <c r="V8" s="3">
        <v>69.76</v>
      </c>
      <c r="W8" s="4">
        <v>175.64</v>
      </c>
      <c r="X8" s="3">
        <v>44</v>
      </c>
      <c r="Y8" s="239">
        <v>171</v>
      </c>
      <c r="Z8" s="58"/>
      <c r="AA8" s="59"/>
      <c r="AB8" s="249">
        <v>10.33</v>
      </c>
      <c r="AC8" s="259">
        <v>18.94</v>
      </c>
      <c r="AD8" s="19">
        <v>28.38</v>
      </c>
      <c r="AE8" s="239">
        <v>84.87</v>
      </c>
      <c r="AF8" s="3">
        <v>7.7</v>
      </c>
      <c r="AG8" s="239">
        <v>27.21</v>
      </c>
      <c r="AH8" s="19">
        <v>23.03</v>
      </c>
      <c r="AI8" s="4">
        <v>59.14</v>
      </c>
      <c r="AJ8" s="3">
        <v>0.01</v>
      </c>
      <c r="AK8" s="4">
        <v>0.08</v>
      </c>
      <c r="AL8" s="72"/>
      <c r="AM8" s="4"/>
      <c r="AN8" s="602">
        <v>10</v>
      </c>
      <c r="AO8" s="598">
        <v>29</v>
      </c>
      <c r="AP8" s="597">
        <v>1.54</v>
      </c>
      <c r="AQ8" s="67">
        <v>2.31</v>
      </c>
      <c r="AR8" s="68">
        <v>0.08</v>
      </c>
      <c r="AS8" s="69">
        <v>0.33</v>
      </c>
      <c r="AT8" s="249">
        <v>2.52</v>
      </c>
      <c r="AU8" s="607">
        <v>12.73</v>
      </c>
      <c r="AV8" s="236">
        <f t="shared" si="0"/>
        <v>292.34999999999997</v>
      </c>
      <c r="AW8" s="606">
        <f t="shared" si="1"/>
        <v>849.5799999999999</v>
      </c>
      <c r="AX8" s="68">
        <v>4.63</v>
      </c>
      <c r="AY8" s="239">
        <v>11.21</v>
      </c>
      <c r="AZ8" s="56">
        <f t="shared" si="2"/>
        <v>296.97999999999996</v>
      </c>
      <c r="BA8" s="64">
        <f t="shared" si="3"/>
        <v>860.79</v>
      </c>
    </row>
    <row r="9" spans="1:53" s="65" customFormat="1" ht="13.5">
      <c r="A9" s="73" t="s">
        <v>7</v>
      </c>
      <c r="B9" s="19"/>
      <c r="C9" s="241"/>
      <c r="D9" s="3"/>
      <c r="E9" s="5"/>
      <c r="F9" s="3"/>
      <c r="G9" s="239"/>
      <c r="H9" s="3">
        <v>31</v>
      </c>
      <c r="I9" s="241">
        <v>62</v>
      </c>
      <c r="J9" s="249"/>
      <c r="K9" s="260"/>
      <c r="L9" s="19"/>
      <c r="M9" s="4"/>
      <c r="N9" s="3">
        <v>6</v>
      </c>
      <c r="O9" s="4">
        <v>16.08</v>
      </c>
      <c r="P9" s="3"/>
      <c r="Q9" s="4"/>
      <c r="R9" s="3"/>
      <c r="S9" s="4"/>
      <c r="T9" s="19"/>
      <c r="U9" s="239"/>
      <c r="V9" s="3">
        <v>1.61</v>
      </c>
      <c r="W9" s="4">
        <v>3.55</v>
      </c>
      <c r="X9" s="3"/>
      <c r="Y9" s="239"/>
      <c r="Z9" s="58"/>
      <c r="AA9" s="59"/>
      <c r="AB9" s="249"/>
      <c r="AC9" s="259"/>
      <c r="AD9" s="19">
        <v>26.61</v>
      </c>
      <c r="AE9" s="239">
        <v>78.87</v>
      </c>
      <c r="AF9" s="3"/>
      <c r="AG9" s="239"/>
      <c r="AH9" s="19"/>
      <c r="AI9" s="4"/>
      <c r="AJ9" s="3"/>
      <c r="AK9" s="4"/>
      <c r="AL9" s="72"/>
      <c r="AM9" s="4"/>
      <c r="AN9" s="603"/>
      <c r="AO9" s="598"/>
      <c r="AP9" s="597"/>
      <c r="AQ9" s="67"/>
      <c r="AR9" s="68"/>
      <c r="AS9" s="69"/>
      <c r="AT9" s="249"/>
      <c r="AU9" s="607">
        <v>0.004</v>
      </c>
      <c r="AV9" s="236">
        <f t="shared" si="0"/>
        <v>65.22</v>
      </c>
      <c r="AW9" s="606">
        <f t="shared" si="1"/>
        <v>160.5</v>
      </c>
      <c r="AX9" s="68"/>
      <c r="AY9" s="239"/>
      <c r="AZ9" s="56">
        <f t="shared" si="2"/>
        <v>65.22</v>
      </c>
      <c r="BA9" s="64">
        <f t="shared" si="3"/>
        <v>160.5</v>
      </c>
    </row>
    <row r="10" spans="1:53" s="65" customFormat="1" ht="13.5">
      <c r="A10" s="73" t="s">
        <v>8</v>
      </c>
      <c r="B10" s="19">
        <v>475.93</v>
      </c>
      <c r="C10" s="241">
        <v>1056.36</v>
      </c>
      <c r="D10" s="3">
        <v>1.97</v>
      </c>
      <c r="E10" s="5">
        <v>4.73</v>
      </c>
      <c r="F10" s="3">
        <v>37.87</v>
      </c>
      <c r="G10" s="239">
        <v>77.76</v>
      </c>
      <c r="H10" s="3">
        <v>462</v>
      </c>
      <c r="I10" s="241">
        <v>1363</v>
      </c>
      <c r="J10" s="249">
        <v>34</v>
      </c>
      <c r="K10" s="260">
        <v>154</v>
      </c>
      <c r="L10" s="19">
        <v>90.6</v>
      </c>
      <c r="M10" s="4">
        <v>285.93</v>
      </c>
      <c r="N10" s="3">
        <v>42.93</v>
      </c>
      <c r="O10" s="4">
        <v>171.36</v>
      </c>
      <c r="P10" s="3">
        <v>5</v>
      </c>
      <c r="Q10" s="4">
        <v>16.61</v>
      </c>
      <c r="R10" s="3">
        <v>4.32</v>
      </c>
      <c r="S10" s="4">
        <v>12.2</v>
      </c>
      <c r="T10" s="19">
        <v>60.74</v>
      </c>
      <c r="U10" s="239">
        <v>231.59</v>
      </c>
      <c r="V10" s="3">
        <v>1365.87</v>
      </c>
      <c r="W10" s="4">
        <v>4090.16</v>
      </c>
      <c r="X10" s="3">
        <v>568</v>
      </c>
      <c r="Y10" s="239">
        <v>1704</v>
      </c>
      <c r="Z10" s="58">
        <v>2.41</v>
      </c>
      <c r="AA10" s="59">
        <v>6.23</v>
      </c>
      <c r="AB10" s="249">
        <v>131.03</v>
      </c>
      <c r="AC10" s="259">
        <v>564.49</v>
      </c>
      <c r="AD10" s="70">
        <v>673.75</v>
      </c>
      <c r="AE10" s="239">
        <v>1639.57</v>
      </c>
      <c r="AF10" s="3">
        <v>17</v>
      </c>
      <c r="AG10" s="239">
        <v>48.38</v>
      </c>
      <c r="AH10" s="19">
        <v>11.3</v>
      </c>
      <c r="AI10" s="4">
        <v>27.2</v>
      </c>
      <c r="AJ10" s="3">
        <v>16.96</v>
      </c>
      <c r="AK10" s="4">
        <v>52.92</v>
      </c>
      <c r="AL10" s="72"/>
      <c r="AM10" s="4"/>
      <c r="AN10" s="602">
        <v>685</v>
      </c>
      <c r="AO10" s="598">
        <v>2457</v>
      </c>
      <c r="AP10" s="597">
        <v>28.32</v>
      </c>
      <c r="AQ10" s="67">
        <v>79.01</v>
      </c>
      <c r="AR10" s="68">
        <v>0.15</v>
      </c>
      <c r="AS10" s="69">
        <v>1.87</v>
      </c>
      <c r="AT10" s="249">
        <v>21.37</v>
      </c>
      <c r="AU10" s="607">
        <v>77.73</v>
      </c>
      <c r="AV10" s="236">
        <f t="shared" si="0"/>
        <v>5065.049999999999</v>
      </c>
      <c r="AW10" s="606">
        <f t="shared" si="1"/>
        <v>14552.850000000002</v>
      </c>
      <c r="AX10" s="3">
        <v>33245.07</v>
      </c>
      <c r="AY10" s="239">
        <v>97110.05</v>
      </c>
      <c r="AZ10" s="56">
        <f t="shared" si="2"/>
        <v>38310.119999999995</v>
      </c>
      <c r="BA10" s="64">
        <f t="shared" si="3"/>
        <v>111662.90000000001</v>
      </c>
    </row>
    <row r="11" spans="1:53" s="65" customFormat="1" ht="14.25" thickBot="1">
      <c r="A11" s="73" t="s">
        <v>9</v>
      </c>
      <c r="B11" s="56"/>
      <c r="C11" s="820"/>
      <c r="D11" s="3"/>
      <c r="E11" s="5"/>
      <c r="F11" s="3"/>
      <c r="G11" s="4"/>
      <c r="H11" s="3"/>
      <c r="I11" s="66"/>
      <c r="J11" s="3"/>
      <c r="K11" s="5"/>
      <c r="L11" s="19"/>
      <c r="M11" s="4"/>
      <c r="N11" s="3"/>
      <c r="O11" s="4"/>
      <c r="P11" s="3"/>
      <c r="Q11" s="4"/>
      <c r="R11" s="3"/>
      <c r="S11" s="4"/>
      <c r="T11" s="19"/>
      <c r="U11" s="4"/>
      <c r="V11" s="3"/>
      <c r="W11" s="4"/>
      <c r="X11" s="3"/>
      <c r="Y11" s="4"/>
      <c r="Z11" s="58"/>
      <c r="AA11" s="59"/>
      <c r="AB11" s="249"/>
      <c r="AC11" s="259"/>
      <c r="AD11" s="70"/>
      <c r="AE11" s="71"/>
      <c r="AF11" s="3"/>
      <c r="AG11" s="4"/>
      <c r="AH11" s="3"/>
      <c r="AI11" s="239">
        <f>AH11</f>
        <v>0</v>
      </c>
      <c r="AJ11" s="3"/>
      <c r="AK11" s="4"/>
      <c r="AL11" s="72"/>
      <c r="AM11" s="4"/>
      <c r="AN11" s="604"/>
      <c r="AO11" s="605"/>
      <c r="AP11" s="597"/>
      <c r="AQ11" s="67"/>
      <c r="AR11" s="68"/>
      <c r="AS11" s="69"/>
      <c r="AT11" s="3">
        <v>0.004</v>
      </c>
      <c r="AU11" s="4">
        <v>0.004</v>
      </c>
      <c r="AV11" s="236">
        <f t="shared" si="0"/>
        <v>0</v>
      </c>
      <c r="AW11" s="606">
        <f t="shared" si="1"/>
        <v>0</v>
      </c>
      <c r="AX11" s="3"/>
      <c r="AY11" s="4"/>
      <c r="AZ11" s="56">
        <f t="shared" si="2"/>
        <v>0</v>
      </c>
      <c r="BA11" s="64">
        <f t="shared" si="3"/>
        <v>0</v>
      </c>
    </row>
    <row r="12" spans="1:53" s="306" customFormat="1" ht="13.5">
      <c r="A12" s="295" t="s">
        <v>10</v>
      </c>
      <c r="B12" s="298">
        <f>SUM(B5:B11)</f>
        <v>578.84</v>
      </c>
      <c r="C12" s="301">
        <f aca="true" t="shared" si="4" ref="C12:Q12">SUM(C5:C11)</f>
        <v>1257.81</v>
      </c>
      <c r="D12" s="298">
        <f t="shared" si="4"/>
        <v>4.35</v>
      </c>
      <c r="E12" s="300">
        <f t="shared" si="4"/>
        <v>12.5</v>
      </c>
      <c r="F12" s="298">
        <f t="shared" si="4"/>
        <v>38.813199999999995</v>
      </c>
      <c r="G12" s="299">
        <f t="shared" si="4"/>
        <v>82.673</v>
      </c>
      <c r="H12" s="298">
        <f t="shared" si="4"/>
        <v>851</v>
      </c>
      <c r="I12" s="301">
        <f t="shared" si="4"/>
        <v>2291</v>
      </c>
      <c r="J12" s="298">
        <f t="shared" si="4"/>
        <v>34</v>
      </c>
      <c r="K12" s="303">
        <f t="shared" si="4"/>
        <v>154</v>
      </c>
      <c r="L12" s="299">
        <f t="shared" si="4"/>
        <v>113.5</v>
      </c>
      <c r="M12" s="299">
        <f t="shared" si="4"/>
        <v>407.53</v>
      </c>
      <c r="N12" s="298">
        <f t="shared" si="4"/>
        <v>89.71600000000001</v>
      </c>
      <c r="O12" s="302">
        <f t="shared" si="4"/>
        <v>302.55</v>
      </c>
      <c r="P12" s="298">
        <f t="shared" si="4"/>
        <v>8</v>
      </c>
      <c r="Q12" s="299">
        <f t="shared" si="4"/>
        <v>25.63</v>
      </c>
      <c r="R12" s="298">
        <f aca="true" t="shared" si="5" ref="R12:AG12">SUM(R5:R11)</f>
        <v>24.55</v>
      </c>
      <c r="S12" s="302">
        <f t="shared" si="5"/>
        <v>59.900000000000006</v>
      </c>
      <c r="T12" s="299">
        <f t="shared" si="5"/>
        <v>83.25</v>
      </c>
      <c r="U12" s="299">
        <f t="shared" si="5"/>
        <v>292.1</v>
      </c>
      <c r="V12" s="298">
        <f t="shared" si="5"/>
        <v>2160.6099999999997</v>
      </c>
      <c r="W12" s="299">
        <f t="shared" si="5"/>
        <v>6223.29</v>
      </c>
      <c r="X12" s="298">
        <f t="shared" si="5"/>
        <v>851</v>
      </c>
      <c r="Y12" s="299">
        <f t="shared" si="5"/>
        <v>2484</v>
      </c>
      <c r="Z12" s="298">
        <f t="shared" si="5"/>
        <v>35.03</v>
      </c>
      <c r="AA12" s="299">
        <f t="shared" si="5"/>
        <v>99.65</v>
      </c>
      <c r="AB12" s="298">
        <f t="shared" si="5"/>
        <v>199.7</v>
      </c>
      <c r="AC12" s="302">
        <f t="shared" si="5"/>
        <v>712.51</v>
      </c>
      <c r="AD12" s="299">
        <f t="shared" si="5"/>
        <v>796.5899</v>
      </c>
      <c r="AE12" s="299">
        <f t="shared" si="5"/>
        <v>2018.7455</v>
      </c>
      <c r="AF12" s="298">
        <f t="shared" si="5"/>
        <v>117.7</v>
      </c>
      <c r="AG12" s="299">
        <f t="shared" si="5"/>
        <v>300.48</v>
      </c>
      <c r="AH12" s="298">
        <f>SUM(AH5:AH11)</f>
        <v>123.21979999999999</v>
      </c>
      <c r="AI12" s="299">
        <f>SUM(AI5:AI11)</f>
        <v>320.56</v>
      </c>
      <c r="AJ12" s="298">
        <f aca="true" t="shared" si="6" ref="AJ12:AU12">SUM(AJ5:AJ11)</f>
        <v>16.970000000000002</v>
      </c>
      <c r="AK12" s="299">
        <f t="shared" si="6"/>
        <v>53</v>
      </c>
      <c r="AL12" s="298">
        <f t="shared" si="6"/>
        <v>0</v>
      </c>
      <c r="AM12" s="299">
        <f t="shared" si="6"/>
        <v>0</v>
      </c>
      <c r="AN12" s="304">
        <f t="shared" si="6"/>
        <v>1425</v>
      </c>
      <c r="AO12" s="599">
        <f t="shared" si="6"/>
        <v>4392</v>
      </c>
      <c r="AP12" s="298">
        <f t="shared" si="6"/>
        <v>52.730000000000004</v>
      </c>
      <c r="AQ12" s="299">
        <f t="shared" si="6"/>
        <v>155.75</v>
      </c>
      <c r="AR12" s="298">
        <f t="shared" si="6"/>
        <v>36.9702</v>
      </c>
      <c r="AS12" s="299">
        <f t="shared" si="6"/>
        <v>87.79060000000001</v>
      </c>
      <c r="AT12" s="298">
        <f t="shared" si="6"/>
        <v>24.919</v>
      </c>
      <c r="AU12" s="302">
        <f t="shared" si="6"/>
        <v>94.87600000000002</v>
      </c>
      <c r="AV12" s="236">
        <f t="shared" si="0"/>
        <v>8028.6790999999985</v>
      </c>
      <c r="AW12" s="606">
        <f t="shared" si="1"/>
        <v>22304.3991</v>
      </c>
      <c r="AX12" s="305">
        <f>SUM(AX5:AX11)</f>
        <v>33669.18</v>
      </c>
      <c r="AY12" s="305">
        <f>SUM(AY5:AY11)</f>
        <v>98781.69</v>
      </c>
      <c r="AZ12" s="298">
        <f t="shared" si="2"/>
        <v>41697.8591</v>
      </c>
      <c r="BA12" s="303">
        <f t="shared" si="3"/>
        <v>121086.0891</v>
      </c>
    </row>
    <row r="13" spans="1:53" s="65" customFormat="1" ht="14.25" thickBot="1">
      <c r="A13" s="73" t="s">
        <v>11</v>
      </c>
      <c r="B13" s="662"/>
      <c r="C13" s="821"/>
      <c r="D13" s="666"/>
      <c r="E13" s="667"/>
      <c r="F13" s="666"/>
      <c r="G13" s="664"/>
      <c r="H13" s="666"/>
      <c r="I13" s="665"/>
      <c r="J13" s="732"/>
      <c r="K13" s="782"/>
      <c r="L13" s="663"/>
      <c r="M13" s="664"/>
      <c r="N13" s="666"/>
      <c r="O13" s="664"/>
      <c r="P13" s="666"/>
      <c r="Q13" s="664"/>
      <c r="R13" s="786"/>
      <c r="S13" s="787"/>
      <c r="T13" s="670"/>
      <c r="U13" s="669"/>
      <c r="V13" s="668"/>
      <c r="W13" s="669"/>
      <c r="X13" s="668"/>
      <c r="Y13" s="669"/>
      <c r="Z13" s="668"/>
      <c r="AA13" s="669"/>
      <c r="AB13" s="671"/>
      <c r="AC13" s="672"/>
      <c r="AD13" s="663"/>
      <c r="AE13" s="664"/>
      <c r="AF13" s="666"/>
      <c r="AG13" s="664"/>
      <c r="AH13" s="666"/>
      <c r="AI13" s="664"/>
      <c r="AJ13" s="666"/>
      <c r="AK13" s="664"/>
      <c r="AL13" s="673"/>
      <c r="AM13" s="664"/>
      <c r="AN13" s="461"/>
      <c r="AO13" s="60"/>
      <c r="AP13" s="674"/>
      <c r="AQ13" s="675"/>
      <c r="AR13" s="676"/>
      <c r="AS13" s="677"/>
      <c r="AT13" s="666"/>
      <c r="AU13" s="664"/>
      <c r="AV13" s="788">
        <f t="shared" si="0"/>
        <v>0</v>
      </c>
      <c r="AW13" s="678">
        <f t="shared" si="1"/>
        <v>0</v>
      </c>
      <c r="AX13" s="676"/>
      <c r="AY13" s="677"/>
      <c r="AZ13" s="679">
        <f t="shared" si="2"/>
        <v>0</v>
      </c>
      <c r="BA13" s="680">
        <f t="shared" si="3"/>
        <v>0</v>
      </c>
    </row>
    <row r="14" spans="1:53" s="306" customFormat="1" ht="14.25" thickBot="1">
      <c r="A14" s="518" t="s">
        <v>12</v>
      </c>
      <c r="B14" s="321">
        <f>B12+B13</f>
        <v>578.84</v>
      </c>
      <c r="C14" s="320">
        <f aca="true" t="shared" si="7" ref="C14:AH14">C12+C13</f>
        <v>1257.81</v>
      </c>
      <c r="D14" s="321">
        <f t="shared" si="7"/>
        <v>4.35</v>
      </c>
      <c r="E14" s="322">
        <f t="shared" si="7"/>
        <v>12.5</v>
      </c>
      <c r="F14" s="321">
        <f t="shared" si="7"/>
        <v>38.813199999999995</v>
      </c>
      <c r="G14" s="319">
        <f t="shared" si="7"/>
        <v>82.673</v>
      </c>
      <c r="H14" s="321">
        <f t="shared" si="7"/>
        <v>851</v>
      </c>
      <c r="I14" s="320">
        <f t="shared" si="7"/>
        <v>2291</v>
      </c>
      <c r="J14" s="783">
        <f t="shared" si="7"/>
        <v>34</v>
      </c>
      <c r="K14" s="822">
        <f t="shared" si="7"/>
        <v>154</v>
      </c>
      <c r="L14" s="319">
        <f t="shared" si="7"/>
        <v>113.5</v>
      </c>
      <c r="M14" s="319">
        <f t="shared" si="7"/>
        <v>407.53</v>
      </c>
      <c r="N14" s="321">
        <f t="shared" si="7"/>
        <v>89.71600000000001</v>
      </c>
      <c r="O14" s="681">
        <f t="shared" si="7"/>
        <v>302.55</v>
      </c>
      <c r="P14" s="321">
        <f>P12+P13</f>
        <v>8</v>
      </c>
      <c r="Q14" s="319">
        <f>Q12+Q13</f>
        <v>25.63</v>
      </c>
      <c r="R14" s="783">
        <f t="shared" si="7"/>
        <v>24.55</v>
      </c>
      <c r="S14" s="784">
        <f t="shared" si="7"/>
        <v>59.900000000000006</v>
      </c>
      <c r="T14" s="319">
        <f t="shared" si="7"/>
        <v>83.25</v>
      </c>
      <c r="U14" s="319">
        <f t="shared" si="7"/>
        <v>292.1</v>
      </c>
      <c r="V14" s="321">
        <f t="shared" si="7"/>
        <v>2160.6099999999997</v>
      </c>
      <c r="W14" s="319">
        <f t="shared" si="7"/>
        <v>6223.29</v>
      </c>
      <c r="X14" s="321">
        <f t="shared" si="7"/>
        <v>851</v>
      </c>
      <c r="Y14" s="319">
        <f t="shared" si="7"/>
        <v>2484</v>
      </c>
      <c r="Z14" s="321">
        <f t="shared" si="7"/>
        <v>35.03</v>
      </c>
      <c r="AA14" s="319">
        <f t="shared" si="7"/>
        <v>99.65</v>
      </c>
      <c r="AB14" s="321">
        <f t="shared" si="7"/>
        <v>199.7</v>
      </c>
      <c r="AC14" s="681">
        <f t="shared" si="7"/>
        <v>712.51</v>
      </c>
      <c r="AD14" s="319">
        <f t="shared" si="7"/>
        <v>796.5899</v>
      </c>
      <c r="AE14" s="319">
        <f t="shared" si="7"/>
        <v>2018.7455</v>
      </c>
      <c r="AF14" s="321">
        <f t="shared" si="7"/>
        <v>117.7</v>
      </c>
      <c r="AG14" s="319">
        <f t="shared" si="7"/>
        <v>300.48</v>
      </c>
      <c r="AH14" s="321">
        <f t="shared" si="7"/>
        <v>123.21979999999999</v>
      </c>
      <c r="AI14" s="319">
        <f aca="true" t="shared" si="8" ref="AI14:AU14">AI12+AI13</f>
        <v>320.56</v>
      </c>
      <c r="AJ14" s="321">
        <f t="shared" si="8"/>
        <v>16.970000000000002</v>
      </c>
      <c r="AK14" s="319">
        <f t="shared" si="8"/>
        <v>53</v>
      </c>
      <c r="AL14" s="321">
        <f t="shared" si="8"/>
        <v>0</v>
      </c>
      <c r="AM14" s="319">
        <f t="shared" si="8"/>
        <v>0</v>
      </c>
      <c r="AN14" s="321">
        <f t="shared" si="8"/>
        <v>1425</v>
      </c>
      <c r="AO14" s="319">
        <f t="shared" si="8"/>
        <v>4392</v>
      </c>
      <c r="AP14" s="321">
        <f t="shared" si="8"/>
        <v>52.730000000000004</v>
      </c>
      <c r="AQ14" s="319">
        <f t="shared" si="8"/>
        <v>155.75</v>
      </c>
      <c r="AR14" s="321">
        <f t="shared" si="8"/>
        <v>36.9702</v>
      </c>
      <c r="AS14" s="319">
        <f t="shared" si="8"/>
        <v>87.79060000000001</v>
      </c>
      <c r="AT14" s="321">
        <f t="shared" si="8"/>
        <v>24.919</v>
      </c>
      <c r="AU14" s="681">
        <f t="shared" si="8"/>
        <v>94.87600000000002</v>
      </c>
      <c r="AV14" s="789">
        <f t="shared" si="0"/>
        <v>8028.6790999999985</v>
      </c>
      <c r="AW14" s="683">
        <f t="shared" si="1"/>
        <v>22304.3991</v>
      </c>
      <c r="AX14" s="684">
        <f>AX12+AX13</f>
        <v>33669.18</v>
      </c>
      <c r="AY14" s="684">
        <f>AY12+AY13</f>
        <v>98781.69</v>
      </c>
      <c r="AZ14" s="321">
        <f t="shared" si="2"/>
        <v>41697.8591</v>
      </c>
      <c r="BA14" s="682">
        <f t="shared" si="3"/>
        <v>121086.0891</v>
      </c>
    </row>
    <row r="17" ht="13.5">
      <c r="A17" s="868"/>
    </row>
  </sheetData>
  <sheetProtection/>
  <mergeCells count="29"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J3:K3"/>
    <mergeCell ref="L3:M3"/>
    <mergeCell ref="N3:O3"/>
    <mergeCell ref="AB3:AC3"/>
    <mergeCell ref="AD3:AE3"/>
    <mergeCell ref="AF3:AG3"/>
    <mergeCell ref="V3:W3"/>
    <mergeCell ref="X3:Y3"/>
    <mergeCell ref="Z3:AA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"/>
  <sheetViews>
    <sheetView zoomScalePageLayoutView="0" workbookViewId="0" topLeftCell="A1">
      <pane xSplit="1" topLeftCell="AX1" activePane="topRight" state="frozen"/>
      <selection pane="topLeft" activeCell="A1" sqref="A1"/>
      <selection pane="topRight" activeCell="AT11" sqref="AT11"/>
    </sheetView>
  </sheetViews>
  <sheetFormatPr defaultColWidth="9.140625" defaultRowHeight="15"/>
  <cols>
    <col min="1" max="1" width="22.8515625" style="6" customWidth="1"/>
    <col min="2" max="2" width="11.7109375" style="6" bestFit="1" customWidth="1"/>
    <col min="3" max="3" width="12.8515625" style="6" bestFit="1" customWidth="1"/>
    <col min="4" max="4" width="11.7109375" style="6" bestFit="1" customWidth="1"/>
    <col min="5" max="5" width="12.8515625" style="6" bestFit="1" customWidth="1"/>
    <col min="6" max="6" width="11.7109375" style="6" bestFit="1" customWidth="1"/>
    <col min="7" max="7" width="11.421875" style="6" customWidth="1"/>
    <col min="8" max="8" width="11.8515625" style="6" customWidth="1"/>
    <col min="9" max="9" width="9.57421875" style="6" customWidth="1"/>
    <col min="10" max="10" width="11.7109375" style="6" bestFit="1" customWidth="1"/>
    <col min="11" max="11" width="12.8515625" style="6" bestFit="1" customWidth="1"/>
    <col min="12" max="12" width="11.7109375" style="6" bestFit="1" customWidth="1"/>
    <col min="13" max="13" width="12.8515625" style="6" bestFit="1" customWidth="1"/>
    <col min="14" max="14" width="11.7109375" style="6" bestFit="1" customWidth="1"/>
    <col min="15" max="15" width="12.8515625" style="6" bestFit="1" customWidth="1"/>
    <col min="16" max="16" width="10.421875" style="21" customWidth="1"/>
    <col min="17" max="17" width="12.8515625" style="21" bestFit="1" customWidth="1"/>
    <col min="18" max="18" width="11.7109375" style="6" bestFit="1" customWidth="1"/>
    <col min="19" max="19" width="12.8515625" style="6" bestFit="1" customWidth="1"/>
    <col min="20" max="20" width="11.7109375" style="6" bestFit="1" customWidth="1"/>
    <col min="21" max="21" width="12.8515625" style="6" bestFit="1" customWidth="1"/>
    <col min="22" max="22" width="11.7109375" style="6" bestFit="1" customWidth="1"/>
    <col min="23" max="23" width="12.8515625" style="6" bestFit="1" customWidth="1"/>
    <col min="24" max="24" width="11.7109375" style="6" bestFit="1" customWidth="1"/>
    <col min="25" max="25" width="12.8515625" style="6" bestFit="1" customWidth="1"/>
    <col min="26" max="26" width="11.7109375" style="21" bestFit="1" customWidth="1"/>
    <col min="27" max="27" width="12.8515625" style="21" bestFit="1" customWidth="1"/>
    <col min="28" max="28" width="11.7109375" style="6" bestFit="1" customWidth="1"/>
    <col min="29" max="29" width="12.8515625" style="6" bestFit="1" customWidth="1"/>
    <col min="30" max="30" width="11.7109375" style="6" bestFit="1" customWidth="1"/>
    <col min="31" max="31" width="12.8515625" style="6" bestFit="1" customWidth="1"/>
    <col min="32" max="32" width="11.7109375" style="6" bestFit="1" customWidth="1"/>
    <col min="33" max="33" width="12.8515625" style="6" bestFit="1" customWidth="1"/>
    <col min="34" max="34" width="11.7109375" style="6" bestFit="1" customWidth="1"/>
    <col min="35" max="35" width="12.8515625" style="6" bestFit="1" customWidth="1"/>
    <col min="36" max="36" width="11.7109375" style="6" bestFit="1" customWidth="1"/>
    <col min="37" max="37" width="12.8515625" style="6" bestFit="1" customWidth="1"/>
    <col min="38" max="38" width="11.7109375" style="6" bestFit="1" customWidth="1"/>
    <col min="39" max="39" width="12.8515625" style="6" bestFit="1" customWidth="1"/>
    <col min="40" max="40" width="11.7109375" style="6" bestFit="1" customWidth="1"/>
    <col min="41" max="41" width="12.8515625" style="6" bestFit="1" customWidth="1"/>
    <col min="42" max="42" width="11.7109375" style="6" bestFit="1" customWidth="1"/>
    <col min="43" max="43" width="12.8515625" style="6" bestFit="1" customWidth="1"/>
    <col min="44" max="44" width="11.7109375" style="6" bestFit="1" customWidth="1"/>
    <col min="45" max="45" width="12.8515625" style="6" bestFit="1" customWidth="1"/>
    <col min="46" max="46" width="11.7109375" style="6" bestFit="1" customWidth="1"/>
    <col min="47" max="47" width="12.8515625" style="6" bestFit="1" customWidth="1"/>
    <col min="48" max="48" width="11.7109375" style="6" bestFit="1" customWidth="1"/>
    <col min="49" max="49" width="12.8515625" style="6" bestFit="1" customWidth="1"/>
    <col min="50" max="50" width="11.7109375" style="6" bestFit="1" customWidth="1"/>
    <col min="51" max="51" width="12.8515625" style="6" bestFit="1" customWidth="1"/>
    <col min="52" max="52" width="11.7109375" style="6" bestFit="1" customWidth="1"/>
    <col min="53" max="53" width="12.8515625" style="6" bestFit="1" customWidth="1"/>
    <col min="54" max="16384" width="9.140625" style="6" customWidth="1"/>
  </cols>
  <sheetData>
    <row r="1" spans="1:52" ht="14.25">
      <c r="A1" s="1271" t="s">
        <v>13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  <c r="P1" s="1271"/>
      <c r="Q1" s="1271"/>
      <c r="R1" s="1271"/>
      <c r="S1" s="1271"/>
      <c r="T1" s="1271"/>
      <c r="U1" s="1271"/>
      <c r="V1" s="1271"/>
      <c r="W1" s="1271"/>
      <c r="X1" s="1271"/>
      <c r="Y1" s="1271"/>
      <c r="Z1" s="1271"/>
      <c r="AA1" s="1271"/>
      <c r="AB1" s="1271"/>
      <c r="AC1" s="1271"/>
      <c r="AD1" s="1271"/>
      <c r="AE1" s="1271"/>
      <c r="AF1" s="1271"/>
      <c r="AG1" s="1271"/>
      <c r="AH1" s="1271"/>
      <c r="AI1" s="1271"/>
      <c r="AJ1" s="1271"/>
      <c r="AK1" s="1271"/>
      <c r="AL1" s="1271"/>
      <c r="AM1" s="1271"/>
      <c r="AN1" s="1271"/>
      <c r="AO1" s="1271"/>
      <c r="AP1" s="1271"/>
      <c r="AQ1" s="1271"/>
      <c r="AR1" s="1271"/>
      <c r="AS1" s="1271"/>
      <c r="AT1" s="1271"/>
      <c r="AU1" s="1271"/>
      <c r="AV1" s="1271"/>
      <c r="AW1" s="1271"/>
      <c r="AX1" s="1271"/>
      <c r="AY1" s="1271"/>
      <c r="AZ1" s="1271"/>
    </row>
    <row r="2" spans="1:52" ht="15" thickBot="1">
      <c r="A2" s="1207"/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207"/>
      <c r="T2" s="1207"/>
      <c r="U2" s="1207"/>
      <c r="V2" s="1207"/>
      <c r="W2" s="1207"/>
      <c r="X2" s="1207"/>
      <c r="Y2" s="1207"/>
      <c r="Z2" s="1207"/>
      <c r="AA2" s="1207"/>
      <c r="AB2" s="1207"/>
      <c r="AC2" s="1207"/>
      <c r="AD2" s="1207"/>
      <c r="AE2" s="1207"/>
      <c r="AF2" s="1207"/>
      <c r="AG2" s="1207"/>
      <c r="AH2" s="1207"/>
      <c r="AI2" s="1207"/>
      <c r="AJ2" s="1207"/>
      <c r="AK2" s="1207"/>
      <c r="AL2" s="1207"/>
      <c r="AM2" s="1207"/>
      <c r="AN2" s="1207"/>
      <c r="AO2" s="1207"/>
      <c r="AP2" s="1207"/>
      <c r="AQ2" s="1207"/>
      <c r="AR2" s="1207"/>
      <c r="AS2" s="1207"/>
      <c r="AT2" s="1207"/>
      <c r="AU2" s="1207"/>
      <c r="AV2" s="1207"/>
      <c r="AW2" s="1207"/>
      <c r="AX2" s="1207"/>
      <c r="AY2" s="1207"/>
      <c r="AZ2" s="1207"/>
    </row>
    <row r="3" spans="1:53" ht="27" customHeight="1" thickBot="1">
      <c r="A3" s="1272" t="s">
        <v>0</v>
      </c>
      <c r="B3" s="1289" t="s">
        <v>117</v>
      </c>
      <c r="C3" s="1290"/>
      <c r="D3" s="1291" t="s">
        <v>118</v>
      </c>
      <c r="E3" s="1291"/>
      <c r="F3" s="1292" t="s">
        <v>119</v>
      </c>
      <c r="G3" s="1291"/>
      <c r="H3" s="1281" t="s">
        <v>120</v>
      </c>
      <c r="I3" s="1282"/>
      <c r="J3" s="1281" t="s">
        <v>121</v>
      </c>
      <c r="K3" s="1282"/>
      <c r="L3" s="1281" t="s">
        <v>122</v>
      </c>
      <c r="M3" s="1282"/>
      <c r="N3" s="1281" t="s">
        <v>123</v>
      </c>
      <c r="O3" s="1282"/>
      <c r="P3" s="1293" t="s">
        <v>124</v>
      </c>
      <c r="Q3" s="1288"/>
      <c r="R3" s="1281" t="s">
        <v>125</v>
      </c>
      <c r="S3" s="1286"/>
      <c r="T3" s="1294" t="s">
        <v>126</v>
      </c>
      <c r="U3" s="1283"/>
      <c r="V3" s="1281" t="s">
        <v>127</v>
      </c>
      <c r="W3" s="1286"/>
      <c r="X3" s="1281" t="s">
        <v>128</v>
      </c>
      <c r="Y3" s="1286"/>
      <c r="Z3" s="1287" t="s">
        <v>129</v>
      </c>
      <c r="AA3" s="1288"/>
      <c r="AB3" s="1281" t="s">
        <v>130</v>
      </c>
      <c r="AC3" s="1283"/>
      <c r="AD3" s="1284" t="s">
        <v>131</v>
      </c>
      <c r="AE3" s="1285"/>
      <c r="AF3" s="1281" t="s">
        <v>132</v>
      </c>
      <c r="AG3" s="1286"/>
      <c r="AH3" s="1281" t="s">
        <v>133</v>
      </c>
      <c r="AI3" s="1286"/>
      <c r="AJ3" s="1281" t="s">
        <v>134</v>
      </c>
      <c r="AK3" s="1286"/>
      <c r="AL3" s="1295" t="s">
        <v>135</v>
      </c>
      <c r="AM3" s="1297"/>
      <c r="AN3" s="1281" t="s">
        <v>136</v>
      </c>
      <c r="AO3" s="1286"/>
      <c r="AP3" s="1294" t="s">
        <v>137</v>
      </c>
      <c r="AQ3" s="1283"/>
      <c r="AR3" s="1281" t="s">
        <v>138</v>
      </c>
      <c r="AS3" s="1286"/>
      <c r="AT3" s="1294" t="s">
        <v>139</v>
      </c>
      <c r="AU3" s="1282"/>
      <c r="AV3" s="1281" t="s">
        <v>1</v>
      </c>
      <c r="AW3" s="1283"/>
      <c r="AX3" s="1284" t="s">
        <v>140</v>
      </c>
      <c r="AY3" s="1285"/>
      <c r="AZ3" s="1295" t="s">
        <v>2</v>
      </c>
      <c r="BA3" s="1296"/>
    </row>
    <row r="4" spans="1:53" s="296" customFormat="1" ht="15" thickBot="1">
      <c r="A4" s="1273"/>
      <c r="B4" s="373" t="s">
        <v>297</v>
      </c>
      <c r="C4" s="375" t="s">
        <v>298</v>
      </c>
      <c r="D4" s="374" t="s">
        <v>297</v>
      </c>
      <c r="E4" s="374" t="s">
        <v>298</v>
      </c>
      <c r="F4" s="373" t="s">
        <v>297</v>
      </c>
      <c r="G4" s="374" t="s">
        <v>298</v>
      </c>
      <c r="H4" s="373" t="s">
        <v>297</v>
      </c>
      <c r="I4" s="374" t="s">
        <v>298</v>
      </c>
      <c r="J4" s="373" t="s">
        <v>297</v>
      </c>
      <c r="K4" s="374" t="s">
        <v>298</v>
      </c>
      <c r="L4" s="373" t="s">
        <v>297</v>
      </c>
      <c r="M4" s="374" t="s">
        <v>298</v>
      </c>
      <c r="N4" s="373" t="s">
        <v>297</v>
      </c>
      <c r="O4" s="374" t="s">
        <v>298</v>
      </c>
      <c r="P4" s="373" t="s">
        <v>297</v>
      </c>
      <c r="Q4" s="374" t="s">
        <v>298</v>
      </c>
      <c r="R4" s="373" t="s">
        <v>297</v>
      </c>
      <c r="S4" s="375" t="s">
        <v>298</v>
      </c>
      <c r="T4" s="374" t="s">
        <v>297</v>
      </c>
      <c r="U4" s="374" t="s">
        <v>298</v>
      </c>
      <c r="V4" s="373" t="s">
        <v>297</v>
      </c>
      <c r="W4" s="375" t="s">
        <v>298</v>
      </c>
      <c r="X4" s="373" t="s">
        <v>297</v>
      </c>
      <c r="Y4" s="375" t="s">
        <v>298</v>
      </c>
      <c r="Z4" s="374" t="s">
        <v>297</v>
      </c>
      <c r="AA4" s="374" t="s">
        <v>298</v>
      </c>
      <c r="AB4" s="373" t="s">
        <v>297</v>
      </c>
      <c r="AC4" s="374" t="s">
        <v>298</v>
      </c>
      <c r="AD4" s="373" t="s">
        <v>297</v>
      </c>
      <c r="AE4" s="375" t="s">
        <v>298</v>
      </c>
      <c r="AF4" s="373" t="s">
        <v>297</v>
      </c>
      <c r="AG4" s="375" t="s">
        <v>298</v>
      </c>
      <c r="AH4" s="373" t="s">
        <v>297</v>
      </c>
      <c r="AI4" s="375" t="s">
        <v>298</v>
      </c>
      <c r="AJ4" s="373" t="s">
        <v>297</v>
      </c>
      <c r="AK4" s="375" t="s">
        <v>298</v>
      </c>
      <c r="AL4" s="374" t="s">
        <v>297</v>
      </c>
      <c r="AM4" s="374" t="s">
        <v>298</v>
      </c>
      <c r="AN4" s="373" t="s">
        <v>297</v>
      </c>
      <c r="AO4" s="375" t="s">
        <v>298</v>
      </c>
      <c r="AP4" s="374" t="s">
        <v>297</v>
      </c>
      <c r="AQ4" s="374" t="s">
        <v>298</v>
      </c>
      <c r="AR4" s="373" t="s">
        <v>297</v>
      </c>
      <c r="AS4" s="375" t="s">
        <v>298</v>
      </c>
      <c r="AT4" s="374" t="s">
        <v>297</v>
      </c>
      <c r="AU4" s="374" t="s">
        <v>298</v>
      </c>
      <c r="AV4" s="373" t="s">
        <v>297</v>
      </c>
      <c r="AW4" s="374" t="s">
        <v>298</v>
      </c>
      <c r="AX4" s="373" t="s">
        <v>297</v>
      </c>
      <c r="AY4" s="375" t="s">
        <v>298</v>
      </c>
      <c r="AZ4" s="374" t="s">
        <v>297</v>
      </c>
      <c r="BA4" s="374" t="s">
        <v>298</v>
      </c>
    </row>
    <row r="5" spans="1:53" s="512" customFormat="1" ht="13.5">
      <c r="A5" s="256" t="s">
        <v>3</v>
      </c>
      <c r="B5" s="371">
        <v>7630</v>
      </c>
      <c r="C5" s="369">
        <v>22233</v>
      </c>
      <c r="D5" s="367"/>
      <c r="E5" s="368"/>
      <c r="F5" s="371">
        <v>51</v>
      </c>
      <c r="G5" s="368">
        <v>201</v>
      </c>
      <c r="H5" s="371">
        <v>760</v>
      </c>
      <c r="I5" s="368">
        <v>3529</v>
      </c>
      <c r="J5" s="371"/>
      <c r="K5" s="368"/>
      <c r="L5" s="371"/>
      <c r="M5" s="368"/>
      <c r="N5" s="371"/>
      <c r="O5" s="368"/>
      <c r="P5" s="371">
        <v>-27</v>
      </c>
      <c r="Q5" s="368"/>
      <c r="R5" s="371"/>
      <c r="S5" s="369"/>
      <c r="T5" s="367">
        <v>628</v>
      </c>
      <c r="U5" s="517">
        <v>2115</v>
      </c>
      <c r="V5" s="371">
        <v>1895</v>
      </c>
      <c r="W5" s="369">
        <v>4533</v>
      </c>
      <c r="X5" s="371">
        <v>3501</v>
      </c>
      <c r="Y5" s="369">
        <v>114903</v>
      </c>
      <c r="Z5" s="367"/>
      <c r="AA5" s="368"/>
      <c r="AB5" s="252"/>
      <c r="AC5" s="823"/>
      <c r="AD5" s="371">
        <v>6</v>
      </c>
      <c r="AE5" s="369">
        <v>67</v>
      </c>
      <c r="AF5" s="371">
        <v>11056</v>
      </c>
      <c r="AG5" s="369">
        <v>18681</v>
      </c>
      <c r="AH5" s="371">
        <v>384</v>
      </c>
      <c r="AI5" s="369">
        <v>570</v>
      </c>
      <c r="AJ5" s="371"/>
      <c r="AK5" s="369"/>
      <c r="AL5" s="367"/>
      <c r="AM5" s="517"/>
      <c r="AN5" s="825">
        <v>4615</v>
      </c>
      <c r="AO5" s="511">
        <v>6928</v>
      </c>
      <c r="AP5" s="367"/>
      <c r="AQ5" s="517"/>
      <c r="AR5" s="371">
        <v>1</v>
      </c>
      <c r="AS5" s="369">
        <v>3</v>
      </c>
      <c r="AT5" s="367">
        <v>2301</v>
      </c>
      <c r="AU5" s="368">
        <v>13739</v>
      </c>
      <c r="AV5" s="371">
        <f aca="true" t="shared" si="0" ref="AV5:AV14">SUM(B5+D5+F5+H5+J5+L5+N5+P5+R5+T5+V5+X5+Z5+P5+AD5+AF5+AH5+AJ5+AL5+AN5+AP5+AR5+AT5)</f>
        <v>32774</v>
      </c>
      <c r="AW5" s="724">
        <f aca="true" t="shared" si="1" ref="AW5:AW14">SUM(C5+E5+G5+I5+K5+M5+O5+Q5+S5+U5+W5+Y5+AA5+Q5+AE5+AG5+AI5+AK5+AM5+AO5+AQ5+AS5+AU5)</f>
        <v>187502</v>
      </c>
      <c r="AX5" s="371">
        <v>182436</v>
      </c>
      <c r="AY5" s="369">
        <v>506211</v>
      </c>
      <c r="AZ5" s="367">
        <f aca="true" t="shared" si="2" ref="AZ5:AZ14">AV5+AX5</f>
        <v>215210</v>
      </c>
      <c r="BA5" s="367">
        <f aca="true" t="shared" si="3" ref="BA5:BA14">AW5+AY5</f>
        <v>693713</v>
      </c>
    </row>
    <row r="6" spans="1:53" s="512" customFormat="1" ht="13.5">
      <c r="A6" s="256" t="s">
        <v>4</v>
      </c>
      <c r="B6" s="8">
        <v>4083</v>
      </c>
      <c r="C6" s="369">
        <v>175107</v>
      </c>
      <c r="D6" s="20"/>
      <c r="E6" s="17"/>
      <c r="F6" s="18"/>
      <c r="G6" s="368"/>
      <c r="H6" s="18">
        <v>3615553</v>
      </c>
      <c r="I6" s="368">
        <v>10479425</v>
      </c>
      <c r="J6" s="18">
        <v>31020</v>
      </c>
      <c r="K6" s="17">
        <v>42722</v>
      </c>
      <c r="L6" s="18">
        <v>363552</v>
      </c>
      <c r="M6" s="17">
        <v>3043625</v>
      </c>
      <c r="N6" s="18">
        <v>5291</v>
      </c>
      <c r="O6" s="17">
        <v>9157</v>
      </c>
      <c r="P6" s="18">
        <v>46328</v>
      </c>
      <c r="Q6" s="368">
        <v>98177</v>
      </c>
      <c r="R6" s="18">
        <v>84</v>
      </c>
      <c r="S6" s="369">
        <v>189792</v>
      </c>
      <c r="T6" s="20">
        <v>17661</v>
      </c>
      <c r="U6" s="517">
        <v>43862</v>
      </c>
      <c r="V6" s="18">
        <v>6468810</v>
      </c>
      <c r="W6" s="369">
        <v>17174341</v>
      </c>
      <c r="X6" s="18">
        <v>621369</v>
      </c>
      <c r="Y6" s="369">
        <v>1321008</v>
      </c>
      <c r="Z6" s="513">
        <v>3476</v>
      </c>
      <c r="AA6" s="368">
        <v>14187</v>
      </c>
      <c r="AB6" s="18">
        <v>561551</v>
      </c>
      <c r="AC6" s="608">
        <v>673129</v>
      </c>
      <c r="AD6" s="18">
        <v>727666</v>
      </c>
      <c r="AE6" s="369">
        <v>2534271</v>
      </c>
      <c r="AF6" s="18">
        <v>883836</v>
      </c>
      <c r="AG6" s="369">
        <v>2385306</v>
      </c>
      <c r="AH6" s="18">
        <v>666722</v>
      </c>
      <c r="AI6" s="369">
        <v>1297813</v>
      </c>
      <c r="AJ6" s="18"/>
      <c r="AK6" s="369"/>
      <c r="AL6" s="514"/>
      <c r="AM6" s="608"/>
      <c r="AN6" s="826">
        <v>158200</v>
      </c>
      <c r="AO6" s="511">
        <v>119983</v>
      </c>
      <c r="AP6" s="515"/>
      <c r="AQ6" s="829">
        <v>1</v>
      </c>
      <c r="AR6" s="832">
        <v>362521</v>
      </c>
      <c r="AS6" s="369">
        <v>1042565</v>
      </c>
      <c r="AT6" s="20">
        <v>88</v>
      </c>
      <c r="AU6" s="368">
        <v>123</v>
      </c>
      <c r="AV6" s="8">
        <f t="shared" si="0"/>
        <v>14022588</v>
      </c>
      <c r="AW6" s="835">
        <f t="shared" si="1"/>
        <v>40069642</v>
      </c>
      <c r="AX6" s="832">
        <v>3453</v>
      </c>
      <c r="AY6" s="369">
        <v>20800</v>
      </c>
      <c r="AZ6" s="9">
        <f t="shared" si="2"/>
        <v>14026041</v>
      </c>
      <c r="BA6" s="9">
        <f t="shared" si="3"/>
        <v>40090442</v>
      </c>
    </row>
    <row r="7" spans="1:53" s="512" customFormat="1" ht="13.5">
      <c r="A7" s="256" t="s">
        <v>5</v>
      </c>
      <c r="B7" s="8">
        <v>327035</v>
      </c>
      <c r="C7" s="369">
        <v>771491</v>
      </c>
      <c r="D7" s="20">
        <v>27043</v>
      </c>
      <c r="E7" s="17">
        <v>27043</v>
      </c>
      <c r="F7" s="18"/>
      <c r="G7" s="368"/>
      <c r="H7" s="18">
        <v>873026</v>
      </c>
      <c r="I7" s="368">
        <v>3019747</v>
      </c>
      <c r="J7" s="18"/>
      <c r="K7" s="17">
        <v>66</v>
      </c>
      <c r="L7" s="18">
        <v>3355</v>
      </c>
      <c r="M7" s="17">
        <v>8574</v>
      </c>
      <c r="N7" s="18">
        <v>280833</v>
      </c>
      <c r="O7" s="17">
        <v>826437</v>
      </c>
      <c r="P7" s="18"/>
      <c r="Q7" s="368"/>
      <c r="R7" s="18"/>
      <c r="S7" s="369"/>
      <c r="T7" s="20">
        <v>-6</v>
      </c>
      <c r="U7" s="517">
        <v>174</v>
      </c>
      <c r="V7" s="18">
        <v>894961</v>
      </c>
      <c r="W7" s="369">
        <v>3014208</v>
      </c>
      <c r="X7" s="18">
        <v>201236</v>
      </c>
      <c r="Y7" s="369">
        <v>261905</v>
      </c>
      <c r="Z7" s="513"/>
      <c r="AA7" s="368"/>
      <c r="AB7" s="18"/>
      <c r="AC7" s="608"/>
      <c r="AD7" s="18">
        <v>496127</v>
      </c>
      <c r="AE7" s="369">
        <v>1123421</v>
      </c>
      <c r="AF7" s="18"/>
      <c r="AG7" s="369"/>
      <c r="AH7" s="18">
        <v>1730</v>
      </c>
      <c r="AI7" s="369">
        <v>4824</v>
      </c>
      <c r="AJ7" s="18"/>
      <c r="AK7" s="369"/>
      <c r="AL7" s="514"/>
      <c r="AM7" s="608"/>
      <c r="AN7" s="826">
        <v>1591</v>
      </c>
      <c r="AO7" s="511">
        <v>20018</v>
      </c>
      <c r="AP7" s="515">
        <v>140582</v>
      </c>
      <c r="AQ7" s="829">
        <v>384814</v>
      </c>
      <c r="AR7" s="832"/>
      <c r="AS7" s="369"/>
      <c r="AT7" s="20"/>
      <c r="AU7" s="368"/>
      <c r="AV7" s="8">
        <f t="shared" si="0"/>
        <v>3247513</v>
      </c>
      <c r="AW7" s="835">
        <f t="shared" si="1"/>
        <v>9462722</v>
      </c>
      <c r="AX7" s="832">
        <v>2131</v>
      </c>
      <c r="AY7" s="369">
        <v>6756</v>
      </c>
      <c r="AZ7" s="9">
        <f t="shared" si="2"/>
        <v>3249644</v>
      </c>
      <c r="BA7" s="9">
        <f t="shared" si="3"/>
        <v>9469478</v>
      </c>
    </row>
    <row r="8" spans="1:53" s="512" customFormat="1" ht="13.5">
      <c r="A8" s="256" t="s">
        <v>6</v>
      </c>
      <c r="B8" s="8">
        <v>153901</v>
      </c>
      <c r="C8" s="369">
        <v>493088</v>
      </c>
      <c r="D8" s="20">
        <v>19834</v>
      </c>
      <c r="E8" s="17">
        <v>54140</v>
      </c>
      <c r="F8" s="18">
        <v>56228</v>
      </c>
      <c r="G8" s="368">
        <v>240440</v>
      </c>
      <c r="H8" s="18">
        <v>333973</v>
      </c>
      <c r="I8" s="368">
        <v>930088</v>
      </c>
      <c r="J8" s="18"/>
      <c r="K8" s="17"/>
      <c r="L8" s="18"/>
      <c r="M8" s="17">
        <v>149</v>
      </c>
      <c r="N8" s="18">
        <v>416434</v>
      </c>
      <c r="O8" s="17">
        <v>1661163</v>
      </c>
      <c r="P8" s="18">
        <v>13528</v>
      </c>
      <c r="Q8" s="368">
        <v>44275</v>
      </c>
      <c r="R8" s="18">
        <v>435610</v>
      </c>
      <c r="S8" s="369">
        <v>1121335</v>
      </c>
      <c r="T8" s="20">
        <v>14321</v>
      </c>
      <c r="U8" s="517">
        <v>42101</v>
      </c>
      <c r="V8" s="18">
        <v>918697</v>
      </c>
      <c r="W8" s="369">
        <v>2142573</v>
      </c>
      <c r="X8" s="18">
        <v>647020</v>
      </c>
      <c r="Y8" s="369">
        <v>2273177</v>
      </c>
      <c r="Z8" s="513"/>
      <c r="AA8" s="368"/>
      <c r="AB8" s="18">
        <v>336810</v>
      </c>
      <c r="AC8" s="608">
        <v>567639</v>
      </c>
      <c r="AD8" s="18">
        <v>291493</v>
      </c>
      <c r="AE8" s="369">
        <v>705650</v>
      </c>
      <c r="AF8" s="18">
        <v>70248</v>
      </c>
      <c r="AG8" s="369">
        <v>252802</v>
      </c>
      <c r="AH8" s="18">
        <v>306078</v>
      </c>
      <c r="AI8" s="369">
        <v>758403</v>
      </c>
      <c r="AJ8" s="18">
        <v>37</v>
      </c>
      <c r="AK8" s="369">
        <v>304</v>
      </c>
      <c r="AL8" s="514"/>
      <c r="AM8" s="608"/>
      <c r="AN8" s="826">
        <v>156695</v>
      </c>
      <c r="AO8" s="511">
        <v>144694</v>
      </c>
      <c r="AP8" s="515">
        <v>124246</v>
      </c>
      <c r="AQ8" s="829">
        <v>208553</v>
      </c>
      <c r="AR8" s="832">
        <v>938</v>
      </c>
      <c r="AS8" s="369">
        <v>3055</v>
      </c>
      <c r="AT8" s="20">
        <v>38711</v>
      </c>
      <c r="AU8" s="368">
        <v>168616</v>
      </c>
      <c r="AV8" s="8">
        <f t="shared" si="0"/>
        <v>4011520</v>
      </c>
      <c r="AW8" s="835">
        <f t="shared" si="1"/>
        <v>11288881</v>
      </c>
      <c r="AX8" s="832">
        <v>3357</v>
      </c>
      <c r="AY8" s="369">
        <v>13007</v>
      </c>
      <c r="AZ8" s="9">
        <f t="shared" si="2"/>
        <v>4014877</v>
      </c>
      <c r="BA8" s="9">
        <f t="shared" si="3"/>
        <v>11301888</v>
      </c>
    </row>
    <row r="9" spans="1:53" s="512" customFormat="1" ht="13.5">
      <c r="A9" s="256" t="s">
        <v>7</v>
      </c>
      <c r="B9" s="8"/>
      <c r="C9" s="369"/>
      <c r="D9" s="20"/>
      <c r="E9" s="17"/>
      <c r="F9" s="18"/>
      <c r="G9" s="368"/>
      <c r="H9" s="18">
        <v>577409</v>
      </c>
      <c r="I9" s="368">
        <v>1360167</v>
      </c>
      <c r="J9" s="18"/>
      <c r="K9" s="17"/>
      <c r="L9" s="18"/>
      <c r="M9" s="17"/>
      <c r="N9" s="18">
        <v>171964</v>
      </c>
      <c r="O9" s="17">
        <v>500893</v>
      </c>
      <c r="P9" s="18"/>
      <c r="Q9" s="368"/>
      <c r="R9" s="18"/>
      <c r="S9" s="369"/>
      <c r="T9" s="20"/>
      <c r="U9" s="517"/>
      <c r="V9" s="18">
        <v>79766</v>
      </c>
      <c r="W9" s="369">
        <v>149832</v>
      </c>
      <c r="X9" s="18"/>
      <c r="Y9" s="369"/>
      <c r="Z9" s="513"/>
      <c r="AA9" s="368"/>
      <c r="AB9" s="18"/>
      <c r="AC9" s="608"/>
      <c r="AD9" s="18">
        <v>865637</v>
      </c>
      <c r="AE9" s="369">
        <v>2528291</v>
      </c>
      <c r="AF9" s="18"/>
      <c r="AG9" s="369"/>
      <c r="AH9" s="18"/>
      <c r="AI9" s="369"/>
      <c r="AJ9" s="18"/>
      <c r="AK9" s="369"/>
      <c r="AL9" s="514"/>
      <c r="AM9" s="608"/>
      <c r="AN9" s="826"/>
      <c r="AO9" s="511"/>
      <c r="AP9" s="515"/>
      <c r="AQ9" s="829"/>
      <c r="AR9" s="832"/>
      <c r="AS9" s="369"/>
      <c r="AT9" s="20"/>
      <c r="AU9" s="368">
        <v>53</v>
      </c>
      <c r="AV9" s="8">
        <f t="shared" si="0"/>
        <v>1694776</v>
      </c>
      <c r="AW9" s="835">
        <f t="shared" si="1"/>
        <v>4539236</v>
      </c>
      <c r="AX9" s="832"/>
      <c r="AY9" s="369"/>
      <c r="AZ9" s="9">
        <f t="shared" si="2"/>
        <v>1694776</v>
      </c>
      <c r="BA9" s="9">
        <f t="shared" si="3"/>
        <v>4539236</v>
      </c>
    </row>
    <row r="10" spans="1:53" s="512" customFormat="1" ht="13.5">
      <c r="A10" s="256" t="s">
        <v>8</v>
      </c>
      <c r="B10" s="8">
        <v>263059</v>
      </c>
      <c r="C10" s="369">
        <v>800803</v>
      </c>
      <c r="D10" s="20">
        <v>66171</v>
      </c>
      <c r="E10" s="17">
        <v>104536</v>
      </c>
      <c r="F10" s="18">
        <v>22371</v>
      </c>
      <c r="G10" s="368">
        <v>54596</v>
      </c>
      <c r="H10" s="18">
        <v>2868454</v>
      </c>
      <c r="I10" s="368">
        <v>7586755</v>
      </c>
      <c r="J10" s="18">
        <v>10996</v>
      </c>
      <c r="K10" s="17">
        <v>40602</v>
      </c>
      <c r="L10" s="18">
        <v>1083</v>
      </c>
      <c r="M10" s="17">
        <v>2892</v>
      </c>
      <c r="N10" s="18">
        <v>1201816</v>
      </c>
      <c r="O10" s="17">
        <v>5086477</v>
      </c>
      <c r="P10" s="18">
        <v>22117</v>
      </c>
      <c r="Q10" s="368">
        <v>43262</v>
      </c>
      <c r="R10" s="18">
        <v>26371</v>
      </c>
      <c r="S10" s="369">
        <v>66461</v>
      </c>
      <c r="T10" s="20">
        <v>80794</v>
      </c>
      <c r="U10" s="517">
        <v>379570</v>
      </c>
      <c r="V10" s="18">
        <v>7530573</v>
      </c>
      <c r="W10" s="369">
        <v>21667546</v>
      </c>
      <c r="X10" s="18">
        <v>6127110</v>
      </c>
      <c r="Y10" s="369">
        <v>17437401</v>
      </c>
      <c r="Z10" s="513">
        <v>5666</v>
      </c>
      <c r="AA10" s="368">
        <v>52587</v>
      </c>
      <c r="AB10" s="18">
        <v>307097</v>
      </c>
      <c r="AC10" s="608">
        <v>1888214</v>
      </c>
      <c r="AD10" s="717">
        <v>1201943</v>
      </c>
      <c r="AE10" s="369">
        <v>4028079</v>
      </c>
      <c r="AF10" s="18">
        <v>522555</v>
      </c>
      <c r="AG10" s="369">
        <v>1439301</v>
      </c>
      <c r="AH10" s="18">
        <v>100500</v>
      </c>
      <c r="AI10" s="369">
        <v>722373</v>
      </c>
      <c r="AJ10" s="18">
        <v>-50880</v>
      </c>
      <c r="AK10" s="369">
        <v>597884</v>
      </c>
      <c r="AL10" s="514"/>
      <c r="AM10" s="608"/>
      <c r="AN10" s="826">
        <v>1766915</v>
      </c>
      <c r="AO10" s="511">
        <v>596495</v>
      </c>
      <c r="AP10" s="515">
        <v>880527</v>
      </c>
      <c r="AQ10" s="829">
        <v>2007702</v>
      </c>
      <c r="AR10" s="832">
        <v>1024</v>
      </c>
      <c r="AS10" s="369">
        <v>3278</v>
      </c>
      <c r="AT10" s="20">
        <v>43058</v>
      </c>
      <c r="AU10" s="368">
        <v>174160</v>
      </c>
      <c r="AV10" s="8">
        <f t="shared" si="0"/>
        <v>22714340</v>
      </c>
      <c r="AW10" s="835">
        <f t="shared" si="1"/>
        <v>62936022</v>
      </c>
      <c r="AX10" s="18">
        <v>12105480</v>
      </c>
      <c r="AY10" s="369">
        <v>23009091</v>
      </c>
      <c r="AZ10" s="9">
        <f t="shared" si="2"/>
        <v>34819820</v>
      </c>
      <c r="BA10" s="9">
        <f t="shared" si="3"/>
        <v>85945113</v>
      </c>
    </row>
    <row r="11" spans="1:53" s="512" customFormat="1" ht="14.25" thickBot="1">
      <c r="A11" s="256" t="s">
        <v>9</v>
      </c>
      <c r="B11" s="490"/>
      <c r="C11" s="540"/>
      <c r="D11" s="492"/>
      <c r="E11" s="542"/>
      <c r="F11" s="496"/>
      <c r="G11" s="542"/>
      <c r="H11" s="496"/>
      <c r="I11" s="542"/>
      <c r="J11" s="496"/>
      <c r="K11" s="542"/>
      <c r="L11" s="496"/>
      <c r="M11" s="17"/>
      <c r="N11" s="496"/>
      <c r="O11" s="17"/>
      <c r="P11" s="496"/>
      <c r="Q11" s="368"/>
      <c r="R11" s="496"/>
      <c r="S11" s="369"/>
      <c r="T11" s="492"/>
      <c r="U11" s="517"/>
      <c r="V11" s="496"/>
      <c r="W11" s="369"/>
      <c r="X11" s="496"/>
      <c r="Y11" s="369"/>
      <c r="Z11" s="544"/>
      <c r="AA11" s="368"/>
      <c r="AB11" s="496"/>
      <c r="AC11" s="610"/>
      <c r="AD11" s="718"/>
      <c r="AE11" s="493"/>
      <c r="AF11" s="496"/>
      <c r="AG11" s="369"/>
      <c r="AH11" s="496"/>
      <c r="AI11" s="369"/>
      <c r="AJ11" s="496"/>
      <c r="AK11" s="543"/>
      <c r="AL11" s="545"/>
      <c r="AM11" s="610"/>
      <c r="AN11" s="827"/>
      <c r="AO11" s="546"/>
      <c r="AP11" s="547"/>
      <c r="AQ11" s="830"/>
      <c r="AR11" s="833"/>
      <c r="AS11" s="548"/>
      <c r="AT11" s="492"/>
      <c r="AU11" s="542"/>
      <c r="AV11" s="490">
        <f t="shared" si="0"/>
        <v>0</v>
      </c>
      <c r="AW11" s="836">
        <f t="shared" si="1"/>
        <v>0</v>
      </c>
      <c r="AX11" s="496"/>
      <c r="AY11" s="369">
        <f>AX11</f>
        <v>0</v>
      </c>
      <c r="AZ11" s="495">
        <f t="shared" si="2"/>
        <v>0</v>
      </c>
      <c r="BA11" s="495">
        <f t="shared" si="3"/>
        <v>0</v>
      </c>
    </row>
    <row r="12" spans="1:53" s="296" customFormat="1" ht="15" thickBot="1">
      <c r="A12" s="518" t="s">
        <v>10</v>
      </c>
      <c r="B12" s="479">
        <f>SUM(B5:B11)</f>
        <v>755708</v>
      </c>
      <c r="C12" s="482">
        <f aca="true" t="shared" si="4" ref="C12:AH12">SUM(C5:C11)</f>
        <v>2262722</v>
      </c>
      <c r="D12" s="483">
        <f t="shared" si="4"/>
        <v>113048</v>
      </c>
      <c r="E12" s="481">
        <f t="shared" si="4"/>
        <v>185719</v>
      </c>
      <c r="F12" s="479">
        <f t="shared" si="4"/>
        <v>78650</v>
      </c>
      <c r="G12" s="481">
        <f t="shared" si="4"/>
        <v>295237</v>
      </c>
      <c r="H12" s="479">
        <f t="shared" si="4"/>
        <v>8269175</v>
      </c>
      <c r="I12" s="481">
        <f t="shared" si="4"/>
        <v>23379711</v>
      </c>
      <c r="J12" s="479">
        <f t="shared" si="4"/>
        <v>42016</v>
      </c>
      <c r="K12" s="481">
        <f t="shared" si="4"/>
        <v>83390</v>
      </c>
      <c r="L12" s="479">
        <f t="shared" si="4"/>
        <v>367990</v>
      </c>
      <c r="M12" s="481">
        <f t="shared" si="4"/>
        <v>3055240</v>
      </c>
      <c r="N12" s="479">
        <f t="shared" si="4"/>
        <v>2076338</v>
      </c>
      <c r="O12" s="481">
        <f t="shared" si="4"/>
        <v>8084127</v>
      </c>
      <c r="P12" s="479">
        <f>SUM(P5:P11)</f>
        <v>81946</v>
      </c>
      <c r="Q12" s="481">
        <f>SUM(Q5:Q11)</f>
        <v>185714</v>
      </c>
      <c r="R12" s="479">
        <f t="shared" si="4"/>
        <v>462065</v>
      </c>
      <c r="S12" s="482">
        <f t="shared" si="4"/>
        <v>1377588</v>
      </c>
      <c r="T12" s="483">
        <f t="shared" si="4"/>
        <v>113398</v>
      </c>
      <c r="U12" s="541">
        <f t="shared" si="4"/>
        <v>467822</v>
      </c>
      <c r="V12" s="479">
        <f t="shared" si="4"/>
        <v>15894702</v>
      </c>
      <c r="W12" s="482">
        <f t="shared" si="4"/>
        <v>44153033</v>
      </c>
      <c r="X12" s="479">
        <f t="shared" si="4"/>
        <v>7600236</v>
      </c>
      <c r="Y12" s="482">
        <f t="shared" si="4"/>
        <v>21408394</v>
      </c>
      <c r="Z12" s="483">
        <f t="shared" si="4"/>
        <v>9142</v>
      </c>
      <c r="AA12" s="481">
        <f t="shared" si="4"/>
        <v>66774</v>
      </c>
      <c r="AB12" s="479">
        <f t="shared" si="4"/>
        <v>1205458</v>
      </c>
      <c r="AC12" s="541">
        <f t="shared" si="4"/>
        <v>3128982</v>
      </c>
      <c r="AD12" s="479">
        <f t="shared" si="4"/>
        <v>3582872</v>
      </c>
      <c r="AE12" s="482">
        <f t="shared" si="4"/>
        <v>10919779</v>
      </c>
      <c r="AF12" s="479">
        <f t="shared" si="4"/>
        <v>1487695</v>
      </c>
      <c r="AG12" s="482">
        <f t="shared" si="4"/>
        <v>4096090</v>
      </c>
      <c r="AH12" s="479">
        <f t="shared" si="4"/>
        <v>1075414</v>
      </c>
      <c r="AI12" s="482">
        <f aca="true" t="shared" si="5" ref="AI12:AU12">SUM(AI5:AI11)</f>
        <v>2783983</v>
      </c>
      <c r="AJ12" s="479">
        <f t="shared" si="5"/>
        <v>-50843</v>
      </c>
      <c r="AK12" s="482">
        <f t="shared" si="5"/>
        <v>598188</v>
      </c>
      <c r="AL12" s="483">
        <f t="shared" si="5"/>
        <v>0</v>
      </c>
      <c r="AM12" s="541">
        <f t="shared" si="5"/>
        <v>0</v>
      </c>
      <c r="AN12" s="479">
        <f t="shared" si="5"/>
        <v>2088016</v>
      </c>
      <c r="AO12" s="482">
        <f t="shared" si="5"/>
        <v>888118</v>
      </c>
      <c r="AP12" s="483">
        <f t="shared" si="5"/>
        <v>1145355</v>
      </c>
      <c r="AQ12" s="541">
        <f t="shared" si="5"/>
        <v>2601070</v>
      </c>
      <c r="AR12" s="479">
        <f t="shared" si="5"/>
        <v>364484</v>
      </c>
      <c r="AS12" s="482">
        <f t="shared" si="5"/>
        <v>1048901</v>
      </c>
      <c r="AT12" s="483">
        <f t="shared" si="5"/>
        <v>84158</v>
      </c>
      <c r="AU12" s="481">
        <f t="shared" si="5"/>
        <v>356691</v>
      </c>
      <c r="AV12" s="479">
        <f t="shared" si="0"/>
        <v>45723511</v>
      </c>
      <c r="AW12" s="837">
        <f t="shared" si="1"/>
        <v>128484005</v>
      </c>
      <c r="AX12" s="487">
        <f>SUM(AX5:AX11)</f>
        <v>12296857</v>
      </c>
      <c r="AY12" s="488">
        <f>SUM(AY5:AY11)</f>
        <v>23555865</v>
      </c>
      <c r="AZ12" s="483">
        <f t="shared" si="2"/>
        <v>58020368</v>
      </c>
      <c r="BA12" s="483">
        <f t="shared" si="3"/>
        <v>152039870</v>
      </c>
    </row>
    <row r="13" spans="1:53" ht="15" thickBot="1">
      <c r="A13" s="251" t="s">
        <v>11</v>
      </c>
      <c r="B13" s="549"/>
      <c r="C13" s="550"/>
      <c r="D13" s="551"/>
      <c r="E13" s="552"/>
      <c r="F13" s="609"/>
      <c r="G13" s="552"/>
      <c r="H13" s="609"/>
      <c r="I13" s="552"/>
      <c r="J13" s="612"/>
      <c r="K13" s="554"/>
      <c r="L13" s="609"/>
      <c r="M13" s="552"/>
      <c r="N13" s="609"/>
      <c r="O13" s="552"/>
      <c r="P13" s="609"/>
      <c r="Q13" s="552"/>
      <c r="R13" s="609"/>
      <c r="S13" s="553"/>
      <c r="T13" s="551"/>
      <c r="U13" s="555"/>
      <c r="V13" s="609"/>
      <c r="W13" s="553"/>
      <c r="X13" s="609"/>
      <c r="Y13" s="553"/>
      <c r="Z13" s="551"/>
      <c r="AA13" s="552"/>
      <c r="AB13" s="556"/>
      <c r="AC13" s="824"/>
      <c r="AD13" s="609"/>
      <c r="AE13" s="553"/>
      <c r="AF13" s="609"/>
      <c r="AG13" s="553"/>
      <c r="AH13" s="609"/>
      <c r="AI13" s="553"/>
      <c r="AJ13" s="609"/>
      <c r="AK13" s="553"/>
      <c r="AL13" s="557"/>
      <c r="AM13" s="611"/>
      <c r="AN13" s="828"/>
      <c r="AO13" s="558"/>
      <c r="AP13" s="559"/>
      <c r="AQ13" s="831"/>
      <c r="AR13" s="834"/>
      <c r="AS13" s="560">
        <v>0</v>
      </c>
      <c r="AT13" s="551"/>
      <c r="AU13" s="552"/>
      <c r="AV13" s="549">
        <f t="shared" si="0"/>
        <v>0</v>
      </c>
      <c r="AW13" s="838">
        <f t="shared" si="1"/>
        <v>0</v>
      </c>
      <c r="AX13" s="834"/>
      <c r="AY13" s="560"/>
      <c r="AZ13" s="561">
        <f t="shared" si="2"/>
        <v>0</v>
      </c>
      <c r="BA13" s="561">
        <f t="shared" si="3"/>
        <v>0</v>
      </c>
    </row>
    <row r="14" spans="1:53" s="296" customFormat="1" ht="15" thickBot="1">
      <c r="A14" s="518" t="s">
        <v>12</v>
      </c>
      <c r="B14" s="479">
        <f>B12+B13</f>
        <v>755708</v>
      </c>
      <c r="C14" s="482">
        <f aca="true" t="shared" si="6" ref="C14:AH14">C12+C13</f>
        <v>2262722</v>
      </c>
      <c r="D14" s="483">
        <f t="shared" si="6"/>
        <v>113048</v>
      </c>
      <c r="E14" s="481">
        <f t="shared" si="6"/>
        <v>185719</v>
      </c>
      <c r="F14" s="479">
        <f t="shared" si="6"/>
        <v>78650</v>
      </c>
      <c r="G14" s="481">
        <f t="shared" si="6"/>
        <v>295237</v>
      </c>
      <c r="H14" s="479">
        <f t="shared" si="6"/>
        <v>8269175</v>
      </c>
      <c r="I14" s="481">
        <f t="shared" si="6"/>
        <v>23379711</v>
      </c>
      <c r="J14" s="479">
        <f t="shared" si="6"/>
        <v>42016</v>
      </c>
      <c r="K14" s="481">
        <f t="shared" si="6"/>
        <v>83390</v>
      </c>
      <c r="L14" s="479">
        <f t="shared" si="6"/>
        <v>367990</v>
      </c>
      <c r="M14" s="481">
        <f t="shared" si="6"/>
        <v>3055240</v>
      </c>
      <c r="N14" s="479">
        <f t="shared" si="6"/>
        <v>2076338</v>
      </c>
      <c r="O14" s="481">
        <f t="shared" si="6"/>
        <v>8084127</v>
      </c>
      <c r="P14" s="479">
        <f>P12+P13</f>
        <v>81946</v>
      </c>
      <c r="Q14" s="481">
        <f>Q12+Q13</f>
        <v>185714</v>
      </c>
      <c r="R14" s="479">
        <f t="shared" si="6"/>
        <v>462065</v>
      </c>
      <c r="S14" s="482">
        <f t="shared" si="6"/>
        <v>1377588</v>
      </c>
      <c r="T14" s="483">
        <f t="shared" si="6"/>
        <v>113398</v>
      </c>
      <c r="U14" s="541">
        <f t="shared" si="6"/>
        <v>467822</v>
      </c>
      <c r="V14" s="479">
        <f t="shared" si="6"/>
        <v>15894702</v>
      </c>
      <c r="W14" s="482">
        <f t="shared" si="6"/>
        <v>44153033</v>
      </c>
      <c r="X14" s="479">
        <f t="shared" si="6"/>
        <v>7600236</v>
      </c>
      <c r="Y14" s="482">
        <f t="shared" si="6"/>
        <v>21408394</v>
      </c>
      <c r="Z14" s="483">
        <f t="shared" si="6"/>
        <v>9142</v>
      </c>
      <c r="AA14" s="481">
        <f t="shared" si="6"/>
        <v>66774</v>
      </c>
      <c r="AB14" s="479">
        <f t="shared" si="6"/>
        <v>1205458</v>
      </c>
      <c r="AC14" s="541">
        <f t="shared" si="6"/>
        <v>3128982</v>
      </c>
      <c r="AD14" s="479">
        <f t="shared" si="6"/>
        <v>3582872</v>
      </c>
      <c r="AE14" s="482">
        <f t="shared" si="6"/>
        <v>10919779</v>
      </c>
      <c r="AF14" s="479">
        <f t="shared" si="6"/>
        <v>1487695</v>
      </c>
      <c r="AG14" s="482">
        <f t="shared" si="6"/>
        <v>4096090</v>
      </c>
      <c r="AH14" s="479">
        <f t="shared" si="6"/>
        <v>1075414</v>
      </c>
      <c r="AI14" s="482">
        <f aca="true" t="shared" si="7" ref="AI14:AU14">AI12+AI13</f>
        <v>2783983</v>
      </c>
      <c r="AJ14" s="479">
        <f t="shared" si="7"/>
        <v>-50843</v>
      </c>
      <c r="AK14" s="482">
        <f t="shared" si="7"/>
        <v>598188</v>
      </c>
      <c r="AL14" s="483">
        <f t="shared" si="7"/>
        <v>0</v>
      </c>
      <c r="AM14" s="541">
        <f t="shared" si="7"/>
        <v>0</v>
      </c>
      <c r="AN14" s="479">
        <f t="shared" si="7"/>
        <v>2088016</v>
      </c>
      <c r="AO14" s="482">
        <f t="shared" si="7"/>
        <v>888118</v>
      </c>
      <c r="AP14" s="483">
        <f t="shared" si="7"/>
        <v>1145355</v>
      </c>
      <c r="AQ14" s="541">
        <f t="shared" si="7"/>
        <v>2601070</v>
      </c>
      <c r="AR14" s="479">
        <f t="shared" si="7"/>
        <v>364484</v>
      </c>
      <c r="AS14" s="482">
        <f t="shared" si="7"/>
        <v>1048901</v>
      </c>
      <c r="AT14" s="483">
        <f t="shared" si="7"/>
        <v>84158</v>
      </c>
      <c r="AU14" s="481">
        <f t="shared" si="7"/>
        <v>356691</v>
      </c>
      <c r="AV14" s="479">
        <f t="shared" si="0"/>
        <v>45723511</v>
      </c>
      <c r="AW14" s="837">
        <f t="shared" si="1"/>
        <v>128484005</v>
      </c>
      <c r="AX14" s="487">
        <f>AX12+AX13</f>
        <v>12296857</v>
      </c>
      <c r="AY14" s="488">
        <f>AY12+AY13</f>
        <v>23555865</v>
      </c>
      <c r="AZ14" s="483">
        <f t="shared" si="2"/>
        <v>58020368</v>
      </c>
      <c r="BA14" s="483">
        <f t="shared" si="3"/>
        <v>152039870</v>
      </c>
    </row>
  </sheetData>
  <sheetProtection/>
  <mergeCells count="29"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J3:K3"/>
    <mergeCell ref="L3:M3"/>
    <mergeCell ref="N3:O3"/>
    <mergeCell ref="AB3:AC3"/>
    <mergeCell ref="AD3:AE3"/>
    <mergeCell ref="AF3:AG3"/>
    <mergeCell ref="V3:W3"/>
    <mergeCell ref="X3:Y3"/>
    <mergeCell ref="Z3:AA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BF19"/>
  <sheetViews>
    <sheetView zoomScalePageLayoutView="0" workbookViewId="0" topLeftCell="A3">
      <pane xSplit="1" topLeftCell="AT1" activePane="topRight" state="frozen"/>
      <selection pane="topLeft" activeCell="A1" sqref="A1"/>
      <selection pane="topRight" activeCell="AU6" sqref="AU6"/>
    </sheetView>
  </sheetViews>
  <sheetFormatPr defaultColWidth="9.140625" defaultRowHeight="15"/>
  <cols>
    <col min="1" max="1" width="19.7109375" style="43" customWidth="1"/>
    <col min="2" max="2" width="11.7109375" style="43" bestFit="1" customWidth="1"/>
    <col min="3" max="3" width="12.7109375" style="43" bestFit="1" customWidth="1"/>
    <col min="4" max="4" width="11.7109375" style="43" bestFit="1" customWidth="1"/>
    <col min="5" max="5" width="12.7109375" style="43" bestFit="1" customWidth="1"/>
    <col min="6" max="6" width="11.7109375" style="43" bestFit="1" customWidth="1"/>
    <col min="7" max="7" width="12.7109375" style="43" bestFit="1" customWidth="1"/>
    <col min="8" max="8" width="11.7109375" style="43" bestFit="1" customWidth="1"/>
    <col min="9" max="9" width="12.7109375" style="43" bestFit="1" customWidth="1"/>
    <col min="10" max="10" width="11.7109375" style="43" bestFit="1" customWidth="1"/>
    <col min="11" max="11" width="12.7109375" style="43" bestFit="1" customWidth="1"/>
    <col min="12" max="12" width="11.7109375" style="43" bestFit="1" customWidth="1"/>
    <col min="13" max="13" width="12.7109375" style="43" bestFit="1" customWidth="1"/>
    <col min="14" max="14" width="11.7109375" style="43" bestFit="1" customWidth="1"/>
    <col min="15" max="15" width="12.7109375" style="43" bestFit="1" customWidth="1"/>
    <col min="16" max="16" width="11.7109375" style="43" bestFit="1" customWidth="1"/>
    <col min="17" max="17" width="12.7109375" style="43" bestFit="1" customWidth="1"/>
    <col min="18" max="18" width="11.7109375" style="43" bestFit="1" customWidth="1"/>
    <col min="19" max="19" width="12.7109375" style="43" bestFit="1" customWidth="1"/>
    <col min="20" max="20" width="11.7109375" style="43" bestFit="1" customWidth="1"/>
    <col min="21" max="21" width="12.7109375" style="43" bestFit="1" customWidth="1"/>
    <col min="22" max="22" width="11.7109375" style="43" bestFit="1" customWidth="1"/>
    <col min="23" max="23" width="12.7109375" style="43" bestFit="1" customWidth="1"/>
    <col min="24" max="24" width="11.7109375" style="43" bestFit="1" customWidth="1"/>
    <col min="25" max="25" width="12.7109375" style="43" bestFit="1" customWidth="1"/>
    <col min="26" max="26" width="11.7109375" style="43" bestFit="1" customWidth="1"/>
    <col min="27" max="27" width="12.7109375" style="43" bestFit="1" customWidth="1"/>
    <col min="28" max="28" width="11.7109375" style="43" bestFit="1" customWidth="1"/>
    <col min="29" max="29" width="12.7109375" style="43" bestFit="1" customWidth="1"/>
    <col min="30" max="30" width="11.7109375" style="43" bestFit="1" customWidth="1"/>
    <col min="31" max="31" width="12.7109375" style="43" bestFit="1" customWidth="1"/>
    <col min="32" max="32" width="11.7109375" style="43" bestFit="1" customWidth="1"/>
    <col min="33" max="33" width="12.7109375" style="43" bestFit="1" customWidth="1"/>
    <col min="34" max="34" width="11.7109375" style="43" bestFit="1" customWidth="1"/>
    <col min="35" max="35" width="12.7109375" style="43" bestFit="1" customWidth="1"/>
    <col min="36" max="36" width="11.7109375" style="43" bestFit="1" customWidth="1"/>
    <col min="37" max="37" width="12.7109375" style="43" bestFit="1" customWidth="1"/>
    <col min="38" max="38" width="11.7109375" style="43" bestFit="1" customWidth="1"/>
    <col min="39" max="39" width="12.7109375" style="43" bestFit="1" customWidth="1"/>
    <col min="40" max="40" width="11.7109375" style="43" bestFit="1" customWidth="1"/>
    <col min="41" max="41" width="12.7109375" style="43" bestFit="1" customWidth="1"/>
    <col min="42" max="42" width="11.7109375" style="43" bestFit="1" customWidth="1"/>
    <col min="43" max="43" width="12.7109375" style="43" bestFit="1" customWidth="1"/>
    <col min="44" max="44" width="11.7109375" style="43" bestFit="1" customWidth="1"/>
    <col min="45" max="45" width="12.7109375" style="43" bestFit="1" customWidth="1"/>
    <col min="46" max="46" width="11.7109375" style="43" bestFit="1" customWidth="1"/>
    <col min="47" max="47" width="12.7109375" style="43" bestFit="1" customWidth="1"/>
    <col min="48" max="48" width="11.7109375" style="43" bestFit="1" customWidth="1"/>
    <col min="49" max="49" width="12.7109375" style="43" bestFit="1" customWidth="1"/>
    <col min="50" max="50" width="11.7109375" style="43" bestFit="1" customWidth="1"/>
    <col min="51" max="51" width="12.7109375" style="43" bestFit="1" customWidth="1"/>
    <col min="52" max="52" width="11.7109375" style="43" bestFit="1" customWidth="1"/>
    <col min="53" max="53" width="12.7109375" style="43" bestFit="1" customWidth="1"/>
    <col min="54" max="58" width="9.140625" style="593" customWidth="1"/>
    <col min="59" max="16384" width="9.140625" style="43" customWidth="1"/>
  </cols>
  <sheetData>
    <row r="1" spans="1:52" ht="17.25">
      <c r="A1" s="1206" t="s">
        <v>218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  <c r="S1" s="1206"/>
      <c r="T1" s="1206"/>
      <c r="U1" s="1206"/>
      <c r="V1" s="1206"/>
      <c r="W1" s="1206"/>
      <c r="X1" s="1206"/>
      <c r="Y1" s="1206"/>
      <c r="Z1" s="1206"/>
      <c r="AA1" s="1206"/>
      <c r="AB1" s="1206"/>
      <c r="AC1" s="1206"/>
      <c r="AD1" s="1206"/>
      <c r="AE1" s="1206"/>
      <c r="AF1" s="1206"/>
      <c r="AG1" s="1206"/>
      <c r="AH1" s="1206"/>
      <c r="AI1" s="1206"/>
      <c r="AJ1" s="1206"/>
      <c r="AK1" s="1206"/>
      <c r="AL1" s="1206"/>
      <c r="AM1" s="1206"/>
      <c r="AN1" s="1206"/>
      <c r="AO1" s="1206"/>
      <c r="AP1" s="1206"/>
      <c r="AQ1" s="1206"/>
      <c r="AR1" s="1206"/>
      <c r="AS1" s="1206"/>
      <c r="AT1" s="1206"/>
      <c r="AU1" s="1206"/>
      <c r="AV1" s="1206"/>
      <c r="AW1" s="1206"/>
      <c r="AX1" s="1206"/>
      <c r="AY1" s="1206"/>
      <c r="AZ1" s="1206"/>
    </row>
    <row r="2" spans="1:58" s="441" customFormat="1" ht="17.25" thickBot="1">
      <c r="A2" s="1304" t="s">
        <v>115</v>
      </c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  <c r="P2" s="1304"/>
      <c r="Q2" s="1304"/>
      <c r="R2" s="1304"/>
      <c r="S2" s="1304"/>
      <c r="T2" s="1304"/>
      <c r="U2" s="1304"/>
      <c r="V2" s="1304"/>
      <c r="W2" s="1304"/>
      <c r="X2" s="1304"/>
      <c r="Y2" s="1304"/>
      <c r="Z2" s="1304"/>
      <c r="AA2" s="1304"/>
      <c r="AB2" s="1304"/>
      <c r="AC2" s="1304"/>
      <c r="AD2" s="1304"/>
      <c r="AE2" s="1304"/>
      <c r="AF2" s="1304"/>
      <c r="AG2" s="1304"/>
      <c r="AH2" s="1304"/>
      <c r="AI2" s="1304"/>
      <c r="AJ2" s="1304"/>
      <c r="AK2" s="1304"/>
      <c r="AL2" s="1304"/>
      <c r="AM2" s="1304"/>
      <c r="AN2" s="1304"/>
      <c r="AO2" s="1304"/>
      <c r="AP2" s="1304"/>
      <c r="AQ2" s="1304"/>
      <c r="AR2" s="1304"/>
      <c r="AS2" s="1304"/>
      <c r="AT2" s="1304"/>
      <c r="AU2" s="1304"/>
      <c r="AV2" s="1304"/>
      <c r="AW2" s="1304"/>
      <c r="AX2" s="1304"/>
      <c r="AY2" s="1304"/>
      <c r="AZ2" s="1304"/>
      <c r="BB2" s="594"/>
      <c r="BC2" s="594"/>
      <c r="BD2" s="594"/>
      <c r="BE2" s="594"/>
      <c r="BF2" s="594"/>
    </row>
    <row r="3" spans="1:58" s="539" customFormat="1" ht="54.75" customHeight="1" thickBot="1">
      <c r="A3" s="1305" t="s">
        <v>14</v>
      </c>
      <c r="B3" s="1298" t="s">
        <v>117</v>
      </c>
      <c r="C3" s="1299"/>
      <c r="D3" s="1298" t="s">
        <v>118</v>
      </c>
      <c r="E3" s="1299"/>
      <c r="F3" s="1298" t="s">
        <v>119</v>
      </c>
      <c r="G3" s="1299"/>
      <c r="H3" s="1298" t="s">
        <v>120</v>
      </c>
      <c r="I3" s="1307"/>
      <c r="J3" s="1298" t="s">
        <v>121</v>
      </c>
      <c r="K3" s="1299"/>
      <c r="L3" s="1300" t="s">
        <v>122</v>
      </c>
      <c r="M3" s="1301"/>
      <c r="N3" s="1300" t="s">
        <v>123</v>
      </c>
      <c r="O3" s="1301"/>
      <c r="P3" s="1300" t="s">
        <v>124</v>
      </c>
      <c r="Q3" s="1301"/>
      <c r="R3" s="1300" t="s">
        <v>125</v>
      </c>
      <c r="S3" s="1301"/>
      <c r="T3" s="1300" t="s">
        <v>126</v>
      </c>
      <c r="U3" s="1301"/>
      <c r="V3" s="1300" t="s">
        <v>127</v>
      </c>
      <c r="W3" s="1301"/>
      <c r="X3" s="1300" t="s">
        <v>128</v>
      </c>
      <c r="Y3" s="1301"/>
      <c r="Z3" s="1300" t="s">
        <v>129</v>
      </c>
      <c r="AA3" s="1301"/>
      <c r="AB3" s="1301" t="s">
        <v>130</v>
      </c>
      <c r="AC3" s="1301"/>
      <c r="AD3" s="1302" t="s">
        <v>131</v>
      </c>
      <c r="AE3" s="1303"/>
      <c r="AF3" s="1301" t="s">
        <v>132</v>
      </c>
      <c r="AG3" s="1301"/>
      <c r="AH3" s="1300" t="s">
        <v>133</v>
      </c>
      <c r="AI3" s="1301"/>
      <c r="AJ3" s="1301" t="s">
        <v>134</v>
      </c>
      <c r="AK3" s="1301"/>
      <c r="AL3" s="1302" t="s">
        <v>135</v>
      </c>
      <c r="AM3" s="1303"/>
      <c r="AN3" s="1300" t="s">
        <v>136</v>
      </c>
      <c r="AO3" s="1301"/>
      <c r="AP3" s="1300" t="s">
        <v>137</v>
      </c>
      <c r="AQ3" s="1301"/>
      <c r="AR3" s="1300" t="s">
        <v>138</v>
      </c>
      <c r="AS3" s="1301"/>
      <c r="AT3" s="1300" t="s">
        <v>139</v>
      </c>
      <c r="AU3" s="1301"/>
      <c r="AV3" s="1300" t="s">
        <v>1</v>
      </c>
      <c r="AW3" s="1301"/>
      <c r="AX3" s="1302" t="s">
        <v>140</v>
      </c>
      <c r="AY3" s="1303"/>
      <c r="AZ3" s="1302" t="s">
        <v>2</v>
      </c>
      <c r="BA3" s="1308"/>
      <c r="BB3" s="839"/>
      <c r="BC3" s="839"/>
      <c r="BD3" s="839"/>
      <c r="BE3" s="839"/>
      <c r="BF3" s="839"/>
    </row>
    <row r="4" spans="1:58" s="307" customFormat="1" ht="17.25" thickBot="1">
      <c r="A4" s="1306"/>
      <c r="B4" s="373" t="s">
        <v>297</v>
      </c>
      <c r="C4" s="374" t="s">
        <v>298</v>
      </c>
      <c r="D4" s="373" t="s">
        <v>297</v>
      </c>
      <c r="E4" s="374" t="s">
        <v>298</v>
      </c>
      <c r="F4" s="373" t="s">
        <v>297</v>
      </c>
      <c r="G4" s="374" t="s">
        <v>298</v>
      </c>
      <c r="H4" s="373" t="s">
        <v>297</v>
      </c>
      <c r="I4" s="375" t="s">
        <v>298</v>
      </c>
      <c r="J4" s="373" t="s">
        <v>297</v>
      </c>
      <c r="K4" s="374" t="s">
        <v>298</v>
      </c>
      <c r="L4" s="373" t="s">
        <v>297</v>
      </c>
      <c r="M4" s="374" t="s">
        <v>298</v>
      </c>
      <c r="N4" s="373" t="s">
        <v>297</v>
      </c>
      <c r="O4" s="374" t="s">
        <v>298</v>
      </c>
      <c r="P4" s="373" t="s">
        <v>297</v>
      </c>
      <c r="Q4" s="374" t="s">
        <v>298</v>
      </c>
      <c r="R4" s="373" t="s">
        <v>297</v>
      </c>
      <c r="S4" s="374" t="s">
        <v>298</v>
      </c>
      <c r="T4" s="373" t="s">
        <v>297</v>
      </c>
      <c r="U4" s="374" t="s">
        <v>298</v>
      </c>
      <c r="V4" s="373" t="s">
        <v>297</v>
      </c>
      <c r="W4" s="374" t="s">
        <v>298</v>
      </c>
      <c r="X4" s="373" t="s">
        <v>297</v>
      </c>
      <c r="Y4" s="374" t="s">
        <v>298</v>
      </c>
      <c r="Z4" s="373" t="s">
        <v>297</v>
      </c>
      <c r="AA4" s="374" t="s">
        <v>298</v>
      </c>
      <c r="AB4" s="373" t="s">
        <v>297</v>
      </c>
      <c r="AC4" s="374" t="s">
        <v>298</v>
      </c>
      <c r="AD4" s="373" t="s">
        <v>297</v>
      </c>
      <c r="AE4" s="374" t="s">
        <v>298</v>
      </c>
      <c r="AF4" s="373" t="s">
        <v>297</v>
      </c>
      <c r="AG4" s="374" t="s">
        <v>298</v>
      </c>
      <c r="AH4" s="373" t="s">
        <v>297</v>
      </c>
      <c r="AI4" s="374" t="s">
        <v>298</v>
      </c>
      <c r="AJ4" s="373" t="s">
        <v>297</v>
      </c>
      <c r="AK4" s="374" t="s">
        <v>298</v>
      </c>
      <c r="AL4" s="373" t="s">
        <v>297</v>
      </c>
      <c r="AM4" s="374" t="s">
        <v>298</v>
      </c>
      <c r="AN4" s="373" t="s">
        <v>297</v>
      </c>
      <c r="AO4" s="374" t="s">
        <v>298</v>
      </c>
      <c r="AP4" s="373" t="s">
        <v>297</v>
      </c>
      <c r="AQ4" s="374" t="s">
        <v>298</v>
      </c>
      <c r="AR4" s="373" t="s">
        <v>297</v>
      </c>
      <c r="AS4" s="374" t="s">
        <v>298</v>
      </c>
      <c r="AT4" s="373" t="s">
        <v>297</v>
      </c>
      <c r="AU4" s="374" t="s">
        <v>298</v>
      </c>
      <c r="AV4" s="373" t="s">
        <v>297</v>
      </c>
      <c r="AW4" s="374" t="s">
        <v>298</v>
      </c>
      <c r="AX4" s="373" t="s">
        <v>297</v>
      </c>
      <c r="AY4" s="374" t="s">
        <v>298</v>
      </c>
      <c r="AZ4" s="373" t="s">
        <v>297</v>
      </c>
      <c r="BA4" s="375" t="s">
        <v>298</v>
      </c>
      <c r="BB4" s="366"/>
      <c r="BC4" s="366"/>
      <c r="BD4" s="366"/>
      <c r="BE4" s="366"/>
      <c r="BF4" s="595"/>
    </row>
    <row r="5" spans="1:53" ht="17.25">
      <c r="A5" s="186" t="s">
        <v>3</v>
      </c>
      <c r="B5" s="263">
        <v>206</v>
      </c>
      <c r="C5" s="264">
        <v>346</v>
      </c>
      <c r="D5" s="265">
        <v>0.02</v>
      </c>
      <c r="E5" s="266">
        <v>0.04</v>
      </c>
      <c r="F5" s="265">
        <v>12.69</v>
      </c>
      <c r="G5" s="267">
        <v>31.91</v>
      </c>
      <c r="H5" s="865">
        <v>343</v>
      </c>
      <c r="I5" s="866">
        <v>816</v>
      </c>
      <c r="J5" s="265">
        <v>64.05</v>
      </c>
      <c r="K5" s="266">
        <v>156</v>
      </c>
      <c r="L5" s="265">
        <v>0.14</v>
      </c>
      <c r="M5" s="266">
        <v>0.21</v>
      </c>
      <c r="N5" s="265">
        <v>16.46</v>
      </c>
      <c r="O5" s="266">
        <v>48.19</v>
      </c>
      <c r="P5" s="269">
        <v>50.4</v>
      </c>
      <c r="Q5" s="22">
        <v>124.73</v>
      </c>
      <c r="R5" s="269">
        <v>104.33</v>
      </c>
      <c r="S5" s="22">
        <v>291.39</v>
      </c>
      <c r="T5" s="269">
        <v>16.19</v>
      </c>
      <c r="U5" s="22">
        <v>33.35</v>
      </c>
      <c r="V5" s="269">
        <v>269.61</v>
      </c>
      <c r="W5" s="22">
        <v>797.95</v>
      </c>
      <c r="X5" s="269">
        <v>489.6</v>
      </c>
      <c r="Y5" s="22">
        <v>1246.5</v>
      </c>
      <c r="Z5" s="463">
        <v>3.19</v>
      </c>
      <c r="AA5" s="270">
        <v>15.41</v>
      </c>
      <c r="AB5" s="32">
        <v>5.23</v>
      </c>
      <c r="AC5" s="266">
        <v>16.38</v>
      </c>
      <c r="AD5" s="265">
        <v>231.81</v>
      </c>
      <c r="AE5" s="266">
        <v>550.39</v>
      </c>
      <c r="AF5" s="268">
        <v>281.65</v>
      </c>
      <c r="AG5" s="266">
        <v>815.08</v>
      </c>
      <c r="AH5" s="265">
        <v>17.49</v>
      </c>
      <c r="AI5" s="266">
        <v>43.08</v>
      </c>
      <c r="AJ5" s="268">
        <v>131.72</v>
      </c>
      <c r="AK5" s="266">
        <v>368.34</v>
      </c>
      <c r="AL5" s="465"/>
      <c r="AM5" s="266"/>
      <c r="AN5" s="613">
        <v>1006</v>
      </c>
      <c r="AO5" s="271">
        <v>2361</v>
      </c>
      <c r="AP5" s="272">
        <v>8.69</v>
      </c>
      <c r="AQ5" s="273">
        <v>23.89</v>
      </c>
      <c r="AR5" s="276">
        <v>-0.12</v>
      </c>
      <c r="AS5" s="274">
        <v>-0.0081</v>
      </c>
      <c r="AT5" s="265">
        <v>237.26</v>
      </c>
      <c r="AU5" s="266">
        <v>573.12</v>
      </c>
      <c r="AV5" s="277">
        <f aca="true" t="shared" si="0" ref="AV5:AV18">SUM(B5+D5+F5+H5+J5+L5+N5+P5+R5+T5+V5+X5+Z5+AB5+AD5+AF5+AH5+AJ5+AL5+AN5+AP5+AR5+AT5)</f>
        <v>3495.41</v>
      </c>
      <c r="AW5" s="275">
        <f aca="true" t="shared" si="1" ref="AW5:AW18">SUM(C5+E5+G5+I5+K5+M5+O5+Q5+S5+U5+W5+Y5+AA5+AC5+AE5+AG5+AI5+AK5+AM5+AO5+AQ5+AS5+AU5)</f>
        <v>8658.951900000002</v>
      </c>
      <c r="AX5" s="276">
        <v>12812.22</v>
      </c>
      <c r="AY5" s="274">
        <v>36285.92</v>
      </c>
      <c r="AZ5" s="277">
        <f aca="true" t="shared" si="2" ref="AZ5:AZ18">AV5+AX5</f>
        <v>16307.63</v>
      </c>
      <c r="BA5" s="278">
        <f aca="true" t="shared" si="3" ref="BA5:BA18">AW5+AY5</f>
        <v>44944.8719</v>
      </c>
    </row>
    <row r="6" spans="1:53" ht="17.25">
      <c r="A6" s="75" t="s">
        <v>4</v>
      </c>
      <c r="B6" s="185">
        <v>284</v>
      </c>
      <c r="C6" s="264">
        <v>352</v>
      </c>
      <c r="D6" s="44">
        <v>0.03</v>
      </c>
      <c r="E6" s="266">
        <v>0.14</v>
      </c>
      <c r="F6" s="44">
        <v>6.13</v>
      </c>
      <c r="G6" s="267">
        <v>11.56</v>
      </c>
      <c r="H6" s="244">
        <v>56</v>
      </c>
      <c r="I6" s="866">
        <v>139</v>
      </c>
      <c r="J6" s="44">
        <v>7.72</v>
      </c>
      <c r="K6" s="266">
        <v>17</v>
      </c>
      <c r="L6" s="265">
        <v>267.66</v>
      </c>
      <c r="M6" s="266">
        <v>729.54</v>
      </c>
      <c r="N6" s="44">
        <v>1.18</v>
      </c>
      <c r="O6" s="266">
        <v>5.5</v>
      </c>
      <c r="P6" s="1">
        <v>8.66</v>
      </c>
      <c r="Q6" s="22">
        <v>22.45</v>
      </c>
      <c r="R6" s="1">
        <v>9.8</v>
      </c>
      <c r="S6" s="22">
        <v>29.49</v>
      </c>
      <c r="T6" s="1">
        <v>16.48</v>
      </c>
      <c r="U6" s="22">
        <v>51.65</v>
      </c>
      <c r="V6" s="1">
        <v>925.03</v>
      </c>
      <c r="W6" s="22">
        <v>2569.71</v>
      </c>
      <c r="X6" s="1">
        <v>1131.8</v>
      </c>
      <c r="Y6" s="22">
        <v>2986.6</v>
      </c>
      <c r="Z6" s="172">
        <v>88.35</v>
      </c>
      <c r="AA6" s="270">
        <v>275.03</v>
      </c>
      <c r="AB6" s="12">
        <v>211.32</v>
      </c>
      <c r="AC6" s="266">
        <v>507.9</v>
      </c>
      <c r="AD6" s="44">
        <v>337.14</v>
      </c>
      <c r="AE6" s="266">
        <v>726.1</v>
      </c>
      <c r="AF6" s="48">
        <v>784.16</v>
      </c>
      <c r="AG6" s="266">
        <v>2016.06</v>
      </c>
      <c r="AH6" s="44">
        <v>225.67</v>
      </c>
      <c r="AI6" s="266">
        <v>601.79</v>
      </c>
      <c r="AJ6" s="48">
        <v>1.6</v>
      </c>
      <c r="AK6" s="266">
        <v>9.69</v>
      </c>
      <c r="AL6" s="466"/>
      <c r="AM6" s="266"/>
      <c r="AN6" s="579">
        <v>2425</v>
      </c>
      <c r="AO6" s="271">
        <v>5777</v>
      </c>
      <c r="AP6" s="50">
        <v>0.62</v>
      </c>
      <c r="AQ6" s="273">
        <v>1.68</v>
      </c>
      <c r="AR6" s="54">
        <v>191.97</v>
      </c>
      <c r="AS6" s="274">
        <v>453.82</v>
      </c>
      <c r="AT6" s="44">
        <v>485.94</v>
      </c>
      <c r="AU6" s="266">
        <v>1244.44</v>
      </c>
      <c r="AV6" s="277">
        <f t="shared" si="0"/>
        <v>7466.26</v>
      </c>
      <c r="AW6" s="275">
        <f t="shared" si="1"/>
        <v>18528.149999999998</v>
      </c>
      <c r="AX6" s="54">
        <v>346.46</v>
      </c>
      <c r="AY6" s="274">
        <v>1023.4</v>
      </c>
      <c r="AZ6" s="55">
        <f t="shared" si="2"/>
        <v>7812.72</v>
      </c>
      <c r="BA6" s="187">
        <f t="shared" si="3"/>
        <v>19551.55</v>
      </c>
    </row>
    <row r="7" spans="1:53" ht="17.25">
      <c r="A7" s="75" t="s">
        <v>5</v>
      </c>
      <c r="B7" s="185">
        <v>1</v>
      </c>
      <c r="C7" s="264">
        <v>1</v>
      </c>
      <c r="D7" s="44">
        <v>2.25</v>
      </c>
      <c r="E7" s="266">
        <v>3.96</v>
      </c>
      <c r="F7" s="44">
        <v>2.9</v>
      </c>
      <c r="G7" s="267">
        <v>11.55</v>
      </c>
      <c r="H7" s="244">
        <v>21</v>
      </c>
      <c r="I7" s="866">
        <v>51</v>
      </c>
      <c r="J7" s="44">
        <v>13.81</v>
      </c>
      <c r="K7" s="266">
        <v>34</v>
      </c>
      <c r="L7" s="44">
        <v>0.39</v>
      </c>
      <c r="M7" s="45">
        <v>0.88</v>
      </c>
      <c r="N7" s="44">
        <v>1.46</v>
      </c>
      <c r="O7" s="266">
        <v>3.77</v>
      </c>
      <c r="P7" s="1">
        <v>5.77</v>
      </c>
      <c r="Q7" s="22">
        <v>20.82</v>
      </c>
      <c r="R7" s="1">
        <v>5.38</v>
      </c>
      <c r="S7" s="22">
        <v>18.76</v>
      </c>
      <c r="T7" s="1">
        <v>7.44</v>
      </c>
      <c r="U7" s="22">
        <v>19.24</v>
      </c>
      <c r="V7" s="1">
        <v>92.38</v>
      </c>
      <c r="W7" s="22">
        <v>255.58</v>
      </c>
      <c r="X7" s="1">
        <v>79.3</v>
      </c>
      <c r="Y7" s="22">
        <v>187.3</v>
      </c>
      <c r="Z7" s="172"/>
      <c r="AA7" s="270"/>
      <c r="AB7" s="12">
        <v>7.15</v>
      </c>
      <c r="AC7" s="266">
        <v>20.86</v>
      </c>
      <c r="AD7" s="44">
        <v>1.47</v>
      </c>
      <c r="AE7" s="266">
        <v>2.85</v>
      </c>
      <c r="AF7" s="48">
        <v>26.3</v>
      </c>
      <c r="AG7" s="266">
        <v>63</v>
      </c>
      <c r="AH7" s="44">
        <v>0.86</v>
      </c>
      <c r="AI7" s="266">
        <v>1.13</v>
      </c>
      <c r="AJ7" s="48">
        <v>14.55</v>
      </c>
      <c r="AK7" s="266">
        <v>43.01</v>
      </c>
      <c r="AL7" s="466"/>
      <c r="AM7" s="266"/>
      <c r="AN7" s="580">
        <v>63</v>
      </c>
      <c r="AO7" s="271">
        <v>123</v>
      </c>
      <c r="AP7" s="50">
        <v>64.53</v>
      </c>
      <c r="AQ7" s="273">
        <v>163.73</v>
      </c>
      <c r="AR7" s="54"/>
      <c r="AS7" s="274"/>
      <c r="AT7" s="44">
        <v>19.51</v>
      </c>
      <c r="AU7" s="266">
        <v>32.22</v>
      </c>
      <c r="AV7" s="277">
        <f t="shared" si="0"/>
        <v>430.45000000000005</v>
      </c>
      <c r="AW7" s="275">
        <f t="shared" si="1"/>
        <v>1057.66</v>
      </c>
      <c r="AX7" s="54">
        <v>11.24</v>
      </c>
      <c r="AY7" s="274">
        <v>29.96</v>
      </c>
      <c r="AZ7" s="55">
        <f t="shared" si="2"/>
        <v>441.69000000000005</v>
      </c>
      <c r="BA7" s="187">
        <f t="shared" si="3"/>
        <v>1087.6200000000001</v>
      </c>
    </row>
    <row r="8" spans="1:53" ht="17.25">
      <c r="A8" s="75" t="s">
        <v>6</v>
      </c>
      <c r="B8" s="185">
        <v>6</v>
      </c>
      <c r="C8" s="264">
        <v>19</v>
      </c>
      <c r="D8" s="44">
        <v>0.91</v>
      </c>
      <c r="E8" s="266">
        <v>1.75</v>
      </c>
      <c r="F8" s="44">
        <v>1.09</v>
      </c>
      <c r="G8" s="267">
        <v>3.05</v>
      </c>
      <c r="H8" s="244">
        <v>19</v>
      </c>
      <c r="I8" s="866">
        <v>49</v>
      </c>
      <c r="J8" s="44">
        <v>64.11</v>
      </c>
      <c r="K8" s="266">
        <v>205</v>
      </c>
      <c r="L8" s="44">
        <v>0.21</v>
      </c>
      <c r="M8" s="45">
        <v>0.28</v>
      </c>
      <c r="N8" s="44">
        <v>-0.17</v>
      </c>
      <c r="O8" s="266">
        <v>-0.32</v>
      </c>
      <c r="P8" s="1">
        <v>4.71</v>
      </c>
      <c r="Q8" s="22">
        <v>10.22</v>
      </c>
      <c r="R8" s="1">
        <v>56.61</v>
      </c>
      <c r="S8" s="22">
        <v>154.88</v>
      </c>
      <c r="T8" s="1">
        <v>4</v>
      </c>
      <c r="U8" s="22">
        <v>9.95</v>
      </c>
      <c r="V8" s="1">
        <v>95.97</v>
      </c>
      <c r="W8" s="22">
        <v>352.16</v>
      </c>
      <c r="X8" s="1">
        <v>52.9</v>
      </c>
      <c r="Y8" s="22">
        <v>148.7</v>
      </c>
      <c r="Z8" s="172">
        <v>-0.0094</v>
      </c>
      <c r="AA8" s="270">
        <v>-0.01</v>
      </c>
      <c r="AB8" s="12">
        <v>2.26</v>
      </c>
      <c r="AC8" s="266">
        <v>8.18</v>
      </c>
      <c r="AD8" s="44">
        <v>16.85</v>
      </c>
      <c r="AE8" s="266">
        <v>47.35</v>
      </c>
      <c r="AF8" s="48">
        <v>1.08</v>
      </c>
      <c r="AG8" s="266">
        <v>2.65</v>
      </c>
      <c r="AH8" s="44">
        <v>5.18</v>
      </c>
      <c r="AI8" s="266">
        <v>11.56</v>
      </c>
      <c r="AJ8" s="48">
        <v>11.31</v>
      </c>
      <c r="AK8" s="266">
        <v>37.59</v>
      </c>
      <c r="AL8" s="466"/>
      <c r="AM8" s="266"/>
      <c r="AN8" s="580"/>
      <c r="AO8" s="271">
        <v>1</v>
      </c>
      <c r="AP8" s="50">
        <v>5.52</v>
      </c>
      <c r="AQ8" s="273">
        <v>13.58</v>
      </c>
      <c r="AR8" s="54">
        <v>-0.0041</v>
      </c>
      <c r="AS8" s="274">
        <v>-0.0048</v>
      </c>
      <c r="AT8" s="44">
        <v>41.75</v>
      </c>
      <c r="AU8" s="266">
        <v>100.75</v>
      </c>
      <c r="AV8" s="277">
        <f t="shared" si="0"/>
        <v>389.27649999999994</v>
      </c>
      <c r="AW8" s="275">
        <f t="shared" si="1"/>
        <v>1176.3152</v>
      </c>
      <c r="AX8" s="54">
        <v>4.6</v>
      </c>
      <c r="AY8" s="274">
        <v>20.87</v>
      </c>
      <c r="AZ8" s="55">
        <f t="shared" si="2"/>
        <v>393.87649999999996</v>
      </c>
      <c r="BA8" s="187">
        <f t="shared" si="3"/>
        <v>1197.1852</v>
      </c>
    </row>
    <row r="9" spans="1:53" ht="17.25">
      <c r="A9" s="75" t="s">
        <v>7</v>
      </c>
      <c r="B9" s="63">
        <v>0</v>
      </c>
      <c r="C9" s="264"/>
      <c r="D9" s="55"/>
      <c r="E9" s="266"/>
      <c r="F9" s="55"/>
      <c r="G9" s="267"/>
      <c r="H9" s="56"/>
      <c r="I9" s="866"/>
      <c r="J9" s="55"/>
      <c r="K9" s="266"/>
      <c r="L9" s="55"/>
      <c r="M9" s="45"/>
      <c r="N9" s="55"/>
      <c r="O9" s="266"/>
      <c r="P9" s="3"/>
      <c r="Q9" s="22">
        <v>0.01</v>
      </c>
      <c r="R9" s="3"/>
      <c r="S9" s="22"/>
      <c r="T9" s="3"/>
      <c r="U9" s="22"/>
      <c r="V9" s="3"/>
      <c r="W9" s="22"/>
      <c r="X9" s="3"/>
      <c r="Y9" s="22"/>
      <c r="Z9" s="172"/>
      <c r="AA9" s="270"/>
      <c r="AB9" s="19"/>
      <c r="AC9" s="266"/>
      <c r="AD9" s="464">
        <v>0.05</v>
      </c>
      <c r="AE9" s="266">
        <v>0.08</v>
      </c>
      <c r="AF9" s="53"/>
      <c r="AG9" s="266"/>
      <c r="AH9" s="55"/>
      <c r="AI9" s="266"/>
      <c r="AJ9" s="53"/>
      <c r="AK9" s="266"/>
      <c r="AL9" s="466"/>
      <c r="AM9" s="266"/>
      <c r="AN9" s="581"/>
      <c r="AO9" s="271"/>
      <c r="AP9" s="50"/>
      <c r="AQ9" s="273"/>
      <c r="AR9" s="54"/>
      <c r="AS9" s="274"/>
      <c r="AT9" s="55">
        <v>0.36</v>
      </c>
      <c r="AU9" s="266">
        <v>0.8</v>
      </c>
      <c r="AV9" s="277">
        <f t="shared" si="0"/>
        <v>0.41</v>
      </c>
      <c r="AW9" s="275">
        <f t="shared" si="1"/>
        <v>0.89</v>
      </c>
      <c r="AX9" s="55">
        <v>52.67</v>
      </c>
      <c r="AY9" s="274">
        <v>100.29</v>
      </c>
      <c r="AZ9" s="55">
        <f t="shared" si="2"/>
        <v>53.08</v>
      </c>
      <c r="BA9" s="187">
        <f t="shared" si="3"/>
        <v>101.18</v>
      </c>
    </row>
    <row r="10" spans="1:53" ht="17.25">
      <c r="A10" s="75" t="s">
        <v>15</v>
      </c>
      <c r="B10" s="185"/>
      <c r="C10" s="264"/>
      <c r="D10" s="44"/>
      <c r="E10" s="266"/>
      <c r="F10" s="44"/>
      <c r="G10" s="267"/>
      <c r="H10" s="244"/>
      <c r="I10" s="866"/>
      <c r="J10" s="44"/>
      <c r="K10" s="266"/>
      <c r="L10" s="44"/>
      <c r="M10" s="45"/>
      <c r="N10" s="44"/>
      <c r="O10" s="266"/>
      <c r="P10" s="1"/>
      <c r="Q10" s="22"/>
      <c r="R10" s="1"/>
      <c r="S10" s="22"/>
      <c r="T10" s="1"/>
      <c r="U10" s="22"/>
      <c r="V10" s="1"/>
      <c r="W10" s="22"/>
      <c r="X10" s="1"/>
      <c r="Y10" s="22"/>
      <c r="Z10" s="1"/>
      <c r="AA10" s="270"/>
      <c r="AB10" s="12">
        <v>0.08</v>
      </c>
      <c r="AC10" s="266">
        <v>1.05</v>
      </c>
      <c r="AD10" s="44"/>
      <c r="AE10" s="266"/>
      <c r="AF10" s="48"/>
      <c r="AG10" s="266"/>
      <c r="AH10" s="44"/>
      <c r="AI10" s="266"/>
      <c r="AJ10" s="48"/>
      <c r="AK10" s="266"/>
      <c r="AL10" s="466"/>
      <c r="AM10" s="266"/>
      <c r="AN10" s="581"/>
      <c r="AO10" s="271"/>
      <c r="AP10" s="50"/>
      <c r="AQ10" s="273"/>
      <c r="AR10" s="54"/>
      <c r="AS10" s="274"/>
      <c r="AT10" s="44"/>
      <c r="AU10" s="266"/>
      <c r="AV10" s="277">
        <f t="shared" si="0"/>
        <v>0.08</v>
      </c>
      <c r="AW10" s="275">
        <f t="shared" si="1"/>
        <v>1.05</v>
      </c>
      <c r="AX10" s="54"/>
      <c r="AY10" s="274"/>
      <c r="AZ10" s="55">
        <f t="shared" si="2"/>
        <v>0.08</v>
      </c>
      <c r="BA10" s="187">
        <f t="shared" si="3"/>
        <v>1.05</v>
      </c>
    </row>
    <row r="11" spans="1:53" ht="17.25">
      <c r="A11" s="75" t="s">
        <v>8</v>
      </c>
      <c r="B11" s="185">
        <v>21</v>
      </c>
      <c r="C11" s="264">
        <v>27</v>
      </c>
      <c r="D11" s="44">
        <v>13.89</v>
      </c>
      <c r="E11" s="266">
        <v>48.3</v>
      </c>
      <c r="F11" s="44">
        <v>9.65</v>
      </c>
      <c r="G11" s="267">
        <v>25.87</v>
      </c>
      <c r="H11" s="244">
        <v>67</v>
      </c>
      <c r="I11" s="866">
        <v>150</v>
      </c>
      <c r="J11" s="44">
        <v>17.69</v>
      </c>
      <c r="K11" s="266">
        <v>49</v>
      </c>
      <c r="L11" s="44">
        <v>3.41</v>
      </c>
      <c r="M11" s="45">
        <v>9.31</v>
      </c>
      <c r="N11" s="44">
        <v>21.38</v>
      </c>
      <c r="O11" s="266">
        <v>69.88</v>
      </c>
      <c r="P11" s="1">
        <v>18.31</v>
      </c>
      <c r="Q11" s="22">
        <v>45.55</v>
      </c>
      <c r="R11" s="1">
        <v>14.2</v>
      </c>
      <c r="S11" s="22">
        <v>34.87</v>
      </c>
      <c r="T11" s="1">
        <v>56.05</v>
      </c>
      <c r="U11" s="22">
        <v>135.28</v>
      </c>
      <c r="V11" s="1">
        <v>695.75</v>
      </c>
      <c r="W11" s="22">
        <v>1955.52</v>
      </c>
      <c r="X11" s="1">
        <v>390.8</v>
      </c>
      <c r="Y11" s="22">
        <v>1104.1</v>
      </c>
      <c r="Z11" s="1">
        <v>1.09</v>
      </c>
      <c r="AA11" s="270">
        <v>1.68</v>
      </c>
      <c r="AB11" s="12">
        <v>8.79</v>
      </c>
      <c r="AC11" s="266">
        <v>15.36</v>
      </c>
      <c r="AD11" s="44">
        <v>75.08</v>
      </c>
      <c r="AE11" s="266">
        <v>151.81</v>
      </c>
      <c r="AF11" s="48">
        <v>191.44</v>
      </c>
      <c r="AG11" s="266">
        <v>496.14</v>
      </c>
      <c r="AH11" s="44">
        <v>99.82</v>
      </c>
      <c r="AI11" s="266">
        <v>265.49</v>
      </c>
      <c r="AJ11" s="48">
        <v>79.74</v>
      </c>
      <c r="AK11" s="266">
        <v>212.07</v>
      </c>
      <c r="AL11" s="466"/>
      <c r="AM11" s="266"/>
      <c r="AN11" s="580">
        <v>53</v>
      </c>
      <c r="AO11" s="271">
        <v>133</v>
      </c>
      <c r="AP11" s="50">
        <v>51.19</v>
      </c>
      <c r="AQ11" s="273">
        <v>138.7</v>
      </c>
      <c r="AR11" s="54">
        <v>2.34</v>
      </c>
      <c r="AS11" s="274">
        <v>5.47</v>
      </c>
      <c r="AT11" s="44">
        <v>36.42</v>
      </c>
      <c r="AU11" s="266">
        <v>85.57</v>
      </c>
      <c r="AV11" s="277">
        <f t="shared" si="0"/>
        <v>1928.0399999999997</v>
      </c>
      <c r="AW11" s="275">
        <f t="shared" si="1"/>
        <v>5159.969999999999</v>
      </c>
      <c r="AX11" s="54">
        <v>184.52</v>
      </c>
      <c r="AY11" s="274">
        <v>783.32</v>
      </c>
      <c r="AZ11" s="55">
        <f t="shared" si="2"/>
        <v>2112.56</v>
      </c>
      <c r="BA11" s="187">
        <f t="shared" si="3"/>
        <v>5943.289999999999</v>
      </c>
    </row>
    <row r="12" spans="1:53" ht="17.25">
      <c r="A12" s="75" t="s">
        <v>16</v>
      </c>
      <c r="B12" s="185"/>
      <c r="C12" s="264"/>
      <c r="D12" s="44"/>
      <c r="E12" s="266"/>
      <c r="F12" s="44"/>
      <c r="G12" s="46"/>
      <c r="H12" s="244"/>
      <c r="I12" s="866"/>
      <c r="J12" s="44"/>
      <c r="K12" s="45"/>
      <c r="L12" s="44"/>
      <c r="M12" s="45"/>
      <c r="N12" s="262"/>
      <c r="O12" s="45"/>
      <c r="P12" s="1"/>
      <c r="Q12" s="47"/>
      <c r="R12" s="1">
        <v>0.36</v>
      </c>
      <c r="S12" s="22">
        <v>0.64</v>
      </c>
      <c r="T12" s="1"/>
      <c r="U12" s="2"/>
      <c r="V12" s="1"/>
      <c r="W12" s="22"/>
      <c r="X12" s="1"/>
      <c r="Y12" s="22"/>
      <c r="Z12" s="1"/>
      <c r="AA12" s="2"/>
      <c r="AB12" s="12"/>
      <c r="AC12" s="45"/>
      <c r="AD12" s="44">
        <v>0.76</v>
      </c>
      <c r="AE12" s="266">
        <v>2.97</v>
      </c>
      <c r="AF12" s="48"/>
      <c r="AG12" s="266"/>
      <c r="AH12" s="44"/>
      <c r="AI12" s="266"/>
      <c r="AJ12" s="48"/>
      <c r="AK12" s="266"/>
      <c r="AL12" s="466"/>
      <c r="AM12" s="266"/>
      <c r="AN12" s="580"/>
      <c r="AO12" s="49"/>
      <c r="AP12" s="50"/>
      <c r="AQ12" s="51"/>
      <c r="AR12" s="54"/>
      <c r="AS12" s="52"/>
      <c r="AT12" s="44"/>
      <c r="AU12" s="45"/>
      <c r="AV12" s="277">
        <f t="shared" si="0"/>
        <v>1.12</v>
      </c>
      <c r="AW12" s="275">
        <f t="shared" si="1"/>
        <v>3.6100000000000003</v>
      </c>
      <c r="AX12" s="54"/>
      <c r="AY12" s="274"/>
      <c r="AZ12" s="55">
        <f t="shared" si="2"/>
        <v>1.12</v>
      </c>
      <c r="BA12" s="187">
        <f t="shared" si="3"/>
        <v>3.6100000000000003</v>
      </c>
    </row>
    <row r="13" spans="1:53" ht="17.25">
      <c r="A13" s="75" t="s">
        <v>17</v>
      </c>
      <c r="B13" s="185"/>
      <c r="C13" s="264"/>
      <c r="D13" s="44">
        <v>0.01</v>
      </c>
      <c r="E13" s="266">
        <v>0.01</v>
      </c>
      <c r="F13" s="44"/>
      <c r="G13" s="46"/>
      <c r="H13" s="244"/>
      <c r="I13" s="866"/>
      <c r="J13" s="44"/>
      <c r="K13" s="45"/>
      <c r="L13" s="44"/>
      <c r="M13" s="45"/>
      <c r="N13" s="44"/>
      <c r="O13" s="45"/>
      <c r="P13" s="1"/>
      <c r="Q13" s="47"/>
      <c r="R13" s="1"/>
      <c r="S13" s="22"/>
      <c r="T13" s="1"/>
      <c r="U13" s="2"/>
      <c r="V13" s="1">
        <v>0.84</v>
      </c>
      <c r="W13" s="22">
        <v>2.72</v>
      </c>
      <c r="X13" s="1">
        <v>2.5</v>
      </c>
      <c r="Y13" s="22">
        <v>9.5</v>
      </c>
      <c r="Z13" s="1"/>
      <c r="AA13" s="2"/>
      <c r="AB13" s="12"/>
      <c r="AC13" s="45"/>
      <c r="AD13" s="44"/>
      <c r="AE13" s="45"/>
      <c r="AF13" s="48"/>
      <c r="AG13" s="45"/>
      <c r="AH13" s="44"/>
      <c r="AI13" s="266"/>
      <c r="AJ13" s="48"/>
      <c r="AK13" s="266"/>
      <c r="AL13" s="466"/>
      <c r="AM13" s="266"/>
      <c r="AN13" s="580"/>
      <c r="AO13" s="49"/>
      <c r="AP13" s="50"/>
      <c r="AQ13" s="51"/>
      <c r="AR13" s="54"/>
      <c r="AS13" s="52"/>
      <c r="AT13" s="44"/>
      <c r="AU13" s="45"/>
      <c r="AV13" s="277">
        <f t="shared" si="0"/>
        <v>3.35</v>
      </c>
      <c r="AW13" s="275">
        <f t="shared" si="1"/>
        <v>12.23</v>
      </c>
      <c r="AX13" s="54">
        <v>5.45</v>
      </c>
      <c r="AY13" s="274">
        <v>9.43</v>
      </c>
      <c r="AZ13" s="55">
        <f t="shared" si="2"/>
        <v>8.8</v>
      </c>
      <c r="BA13" s="187">
        <f t="shared" si="3"/>
        <v>21.66</v>
      </c>
    </row>
    <row r="14" spans="1:53" ht="17.25">
      <c r="A14" s="75" t="s">
        <v>146</v>
      </c>
      <c r="B14" s="185"/>
      <c r="C14" s="264"/>
      <c r="D14" s="44"/>
      <c r="E14" s="266"/>
      <c r="F14" s="44"/>
      <c r="G14" s="46"/>
      <c r="H14" s="244">
        <v>38</v>
      </c>
      <c r="I14" s="866">
        <v>144</v>
      </c>
      <c r="J14" s="44"/>
      <c r="K14" s="45"/>
      <c r="L14" s="44"/>
      <c r="M14" s="45"/>
      <c r="N14" s="44"/>
      <c r="O14" s="45"/>
      <c r="P14" s="1"/>
      <c r="Q14" s="47"/>
      <c r="R14" s="1"/>
      <c r="S14" s="2"/>
      <c r="T14" s="1"/>
      <c r="U14" s="2"/>
      <c r="V14" s="1"/>
      <c r="W14" s="22"/>
      <c r="X14" s="1">
        <v>24.7</v>
      </c>
      <c r="Y14" s="22">
        <v>65.4</v>
      </c>
      <c r="Z14" s="1"/>
      <c r="AA14" s="2"/>
      <c r="AB14" s="12"/>
      <c r="AC14" s="45"/>
      <c r="AD14" s="44"/>
      <c r="AE14" s="45"/>
      <c r="AF14" s="48"/>
      <c r="AG14" s="45"/>
      <c r="AH14" s="44"/>
      <c r="AI14" s="266"/>
      <c r="AJ14" s="48"/>
      <c r="AK14" s="266"/>
      <c r="AL14" s="466"/>
      <c r="AM14" s="266"/>
      <c r="AN14" s="580"/>
      <c r="AO14" s="49"/>
      <c r="AP14" s="50"/>
      <c r="AQ14" s="51"/>
      <c r="AR14" s="54"/>
      <c r="AS14" s="52"/>
      <c r="AT14" s="44"/>
      <c r="AU14" s="45"/>
      <c r="AV14" s="277">
        <f t="shared" si="0"/>
        <v>62.7</v>
      </c>
      <c r="AW14" s="275">
        <f t="shared" si="1"/>
        <v>209.4</v>
      </c>
      <c r="AX14" s="54"/>
      <c r="AY14" s="52"/>
      <c r="AZ14" s="55">
        <f t="shared" si="2"/>
        <v>62.7</v>
      </c>
      <c r="BA14" s="187">
        <f t="shared" si="3"/>
        <v>209.4</v>
      </c>
    </row>
    <row r="15" spans="1:53" ht="18" thickBot="1">
      <c r="A15" s="188" t="s">
        <v>19</v>
      </c>
      <c r="B15" s="210"/>
      <c r="C15" s="264"/>
      <c r="D15" s="189"/>
      <c r="E15" s="266"/>
      <c r="F15" s="189"/>
      <c r="G15" s="191"/>
      <c r="H15" s="867">
        <v>15</v>
      </c>
      <c r="I15" s="866">
        <v>20</v>
      </c>
      <c r="J15" s="189"/>
      <c r="K15" s="190"/>
      <c r="L15" s="189"/>
      <c r="M15" s="190"/>
      <c r="N15" s="189"/>
      <c r="O15" s="190"/>
      <c r="P15" s="211">
        <v>0.58</v>
      </c>
      <c r="Q15" s="212">
        <v>0.79</v>
      </c>
      <c r="R15" s="211"/>
      <c r="S15" s="214"/>
      <c r="T15" s="211"/>
      <c r="U15" s="214"/>
      <c r="V15" s="211">
        <v>21.11</v>
      </c>
      <c r="W15" s="22">
        <v>65.56</v>
      </c>
      <c r="X15" s="211">
        <v>16.4</v>
      </c>
      <c r="Y15" s="22">
        <v>43.2</v>
      </c>
      <c r="Z15" s="211"/>
      <c r="AA15" s="214"/>
      <c r="AB15" s="213"/>
      <c r="AC15" s="190"/>
      <c r="AD15" s="189"/>
      <c r="AE15" s="190"/>
      <c r="AF15" s="192"/>
      <c r="AG15" s="190"/>
      <c r="AH15" s="189">
        <v>0.34</v>
      </c>
      <c r="AI15" s="266">
        <v>0.38</v>
      </c>
      <c r="AJ15" s="192">
        <v>0.04</v>
      </c>
      <c r="AK15" s="266">
        <v>0.09</v>
      </c>
      <c r="AL15" s="467"/>
      <c r="AM15" s="266"/>
      <c r="AN15" s="614"/>
      <c r="AO15" s="215"/>
      <c r="AP15" s="193"/>
      <c r="AQ15" s="194"/>
      <c r="AR15" s="196"/>
      <c r="AS15" s="195"/>
      <c r="AT15" s="189">
        <v>17.41</v>
      </c>
      <c r="AU15" s="190">
        <v>42.06</v>
      </c>
      <c r="AV15" s="277">
        <f t="shared" si="0"/>
        <v>70.88</v>
      </c>
      <c r="AW15" s="275">
        <f t="shared" si="1"/>
        <v>172.08</v>
      </c>
      <c r="AX15" s="196"/>
      <c r="AY15" s="195"/>
      <c r="AZ15" s="197">
        <f t="shared" si="2"/>
        <v>70.88</v>
      </c>
      <c r="BA15" s="198">
        <f t="shared" si="3"/>
        <v>172.08</v>
      </c>
    </row>
    <row r="16" spans="1:58" s="317" customFormat="1" ht="18.75" thickBot="1">
      <c r="A16" s="308" t="s">
        <v>20</v>
      </c>
      <c r="B16" s="309">
        <f>SUM(B5:B15)</f>
        <v>518</v>
      </c>
      <c r="C16" s="309">
        <f aca="true" t="shared" si="4" ref="C16:AH16">SUM(C5:C15)</f>
        <v>745</v>
      </c>
      <c r="D16" s="311">
        <f t="shared" si="4"/>
        <v>17.110000000000003</v>
      </c>
      <c r="E16" s="309">
        <f t="shared" si="4"/>
        <v>54.199999999999996</v>
      </c>
      <c r="F16" s="311">
        <f t="shared" si="4"/>
        <v>32.46</v>
      </c>
      <c r="G16" s="310">
        <f t="shared" si="4"/>
        <v>83.94</v>
      </c>
      <c r="H16" s="311">
        <f t="shared" si="4"/>
        <v>559</v>
      </c>
      <c r="I16" s="312">
        <f t="shared" si="4"/>
        <v>1369</v>
      </c>
      <c r="J16" s="311">
        <f t="shared" si="4"/>
        <v>167.38</v>
      </c>
      <c r="K16" s="309">
        <f t="shared" si="4"/>
        <v>461</v>
      </c>
      <c r="L16" s="311">
        <f t="shared" si="4"/>
        <v>271.81</v>
      </c>
      <c r="M16" s="309">
        <f t="shared" si="4"/>
        <v>740.2199999999999</v>
      </c>
      <c r="N16" s="311">
        <f t="shared" si="4"/>
        <v>40.31</v>
      </c>
      <c r="O16" s="309">
        <f t="shared" si="4"/>
        <v>127.02</v>
      </c>
      <c r="P16" s="311">
        <f t="shared" si="4"/>
        <v>88.42999999999999</v>
      </c>
      <c r="Q16" s="309">
        <f t="shared" si="4"/>
        <v>224.56999999999996</v>
      </c>
      <c r="R16" s="311">
        <f t="shared" si="4"/>
        <v>190.68</v>
      </c>
      <c r="S16" s="309">
        <f t="shared" si="4"/>
        <v>530.03</v>
      </c>
      <c r="T16" s="311">
        <f t="shared" si="4"/>
        <v>100.16</v>
      </c>
      <c r="U16" s="309">
        <f t="shared" si="4"/>
        <v>249.47</v>
      </c>
      <c r="V16" s="311">
        <f t="shared" si="4"/>
        <v>2100.69</v>
      </c>
      <c r="W16" s="309">
        <f t="shared" si="4"/>
        <v>5999.200000000001</v>
      </c>
      <c r="X16" s="311">
        <f t="shared" si="4"/>
        <v>2188</v>
      </c>
      <c r="Y16" s="309">
        <f t="shared" si="4"/>
        <v>5791.3</v>
      </c>
      <c r="Z16" s="311">
        <f t="shared" si="4"/>
        <v>92.6206</v>
      </c>
      <c r="AA16" s="309">
        <f t="shared" si="4"/>
        <v>292.11</v>
      </c>
      <c r="AB16" s="309">
        <f t="shared" si="4"/>
        <v>234.82999999999998</v>
      </c>
      <c r="AC16" s="309">
        <f t="shared" si="4"/>
        <v>569.7299999999999</v>
      </c>
      <c r="AD16" s="311">
        <f t="shared" si="4"/>
        <v>663.1600000000001</v>
      </c>
      <c r="AE16" s="309">
        <f t="shared" si="4"/>
        <v>1481.5499999999997</v>
      </c>
      <c r="AF16" s="309">
        <f t="shared" si="4"/>
        <v>1284.6299999999999</v>
      </c>
      <c r="AG16" s="309">
        <f t="shared" si="4"/>
        <v>3392.93</v>
      </c>
      <c r="AH16" s="311">
        <f t="shared" si="4"/>
        <v>349.35999999999996</v>
      </c>
      <c r="AI16" s="309">
        <f aca="true" t="shared" si="5" ref="AI16:AU16">SUM(AI5:AI15)</f>
        <v>923.43</v>
      </c>
      <c r="AJ16" s="309">
        <f t="shared" si="5"/>
        <v>238.96</v>
      </c>
      <c r="AK16" s="309">
        <f t="shared" si="5"/>
        <v>670.7900000000001</v>
      </c>
      <c r="AL16" s="311">
        <f t="shared" si="5"/>
        <v>0</v>
      </c>
      <c r="AM16" s="309">
        <f t="shared" si="5"/>
        <v>0</v>
      </c>
      <c r="AN16" s="311">
        <f t="shared" si="5"/>
        <v>3547</v>
      </c>
      <c r="AO16" s="309">
        <f t="shared" si="5"/>
        <v>8395</v>
      </c>
      <c r="AP16" s="311">
        <f t="shared" si="5"/>
        <v>130.55</v>
      </c>
      <c r="AQ16" s="309">
        <f t="shared" si="5"/>
        <v>341.58</v>
      </c>
      <c r="AR16" s="311">
        <f t="shared" si="5"/>
        <v>194.1859</v>
      </c>
      <c r="AS16" s="309">
        <f t="shared" si="5"/>
        <v>459.2771</v>
      </c>
      <c r="AT16" s="311">
        <f t="shared" si="5"/>
        <v>838.65</v>
      </c>
      <c r="AU16" s="309">
        <f t="shared" si="5"/>
        <v>2078.96</v>
      </c>
      <c r="AV16" s="315">
        <f t="shared" si="0"/>
        <v>13847.976499999999</v>
      </c>
      <c r="AW16" s="313">
        <f t="shared" si="1"/>
        <v>34980.307100000005</v>
      </c>
      <c r="AX16" s="314">
        <f>SUM(AX5:AX15)</f>
        <v>13417.16</v>
      </c>
      <c r="AY16" s="314">
        <f>SUM(AY5:AY15)</f>
        <v>38253.19</v>
      </c>
      <c r="AZ16" s="315">
        <f t="shared" si="2"/>
        <v>27265.1365</v>
      </c>
      <c r="BA16" s="316">
        <f t="shared" si="3"/>
        <v>73233.49710000001</v>
      </c>
      <c r="BB16" s="596"/>
      <c r="BC16" s="596"/>
      <c r="BD16" s="596"/>
      <c r="BE16" s="596"/>
      <c r="BF16" s="596"/>
    </row>
    <row r="17" spans="1:53" ht="18" thickBot="1">
      <c r="A17" s="216" t="s">
        <v>11</v>
      </c>
      <c r="B17" s="217"/>
      <c r="C17" s="218"/>
      <c r="D17" s="199"/>
      <c r="E17" s="200"/>
      <c r="F17" s="199">
        <v>-0.11</v>
      </c>
      <c r="G17" s="864">
        <v>-0.14</v>
      </c>
      <c r="H17" s="199"/>
      <c r="I17" s="201"/>
      <c r="J17" s="199"/>
      <c r="K17" s="200"/>
      <c r="L17" s="199"/>
      <c r="M17" s="200"/>
      <c r="N17" s="199"/>
      <c r="O17" s="199">
        <v>0.49</v>
      </c>
      <c r="P17" s="219"/>
      <c r="Q17" s="220"/>
      <c r="R17" s="219">
        <v>5.16</v>
      </c>
      <c r="S17" s="219">
        <v>13.6</v>
      </c>
      <c r="T17" s="219"/>
      <c r="U17" s="221"/>
      <c r="V17" s="219"/>
      <c r="W17" s="221"/>
      <c r="X17" s="219"/>
      <c r="Y17" s="221"/>
      <c r="Z17" s="219"/>
      <c r="AA17" s="221"/>
      <c r="AB17" s="202"/>
      <c r="AC17" s="200"/>
      <c r="AD17" s="199">
        <v>0.21</v>
      </c>
      <c r="AE17" s="199">
        <v>0.49</v>
      </c>
      <c r="AF17" s="202"/>
      <c r="AG17" s="200"/>
      <c r="AH17" s="199"/>
      <c r="AI17" s="199">
        <v>-0.01</v>
      </c>
      <c r="AJ17" s="202"/>
      <c r="AK17" s="200"/>
      <c r="AL17" s="468"/>
      <c r="AM17" s="200"/>
      <c r="AN17" s="615"/>
      <c r="AO17" s="222"/>
      <c r="AP17" s="203"/>
      <c r="AQ17" s="204"/>
      <c r="AR17" s="207"/>
      <c r="AS17" s="205"/>
      <c r="AT17" s="199"/>
      <c r="AU17" s="200"/>
      <c r="AV17" s="208">
        <f t="shared" si="0"/>
        <v>5.26</v>
      </c>
      <c r="AW17" s="206">
        <f t="shared" si="1"/>
        <v>14.43</v>
      </c>
      <c r="AX17" s="207"/>
      <c r="AY17" s="205"/>
      <c r="AZ17" s="208">
        <f t="shared" si="2"/>
        <v>5.26</v>
      </c>
      <c r="BA17" s="209">
        <f t="shared" si="3"/>
        <v>14.43</v>
      </c>
    </row>
    <row r="18" spans="1:58" s="317" customFormat="1" ht="18.75" thickBot="1">
      <c r="A18" s="318" t="s">
        <v>12</v>
      </c>
      <c r="B18" s="319">
        <f>B16+B17</f>
        <v>518</v>
      </c>
      <c r="C18" s="319">
        <f aca="true" t="shared" si="6" ref="C18:AH18">C16+C17</f>
        <v>745</v>
      </c>
      <c r="D18" s="321">
        <f t="shared" si="6"/>
        <v>17.110000000000003</v>
      </c>
      <c r="E18" s="319">
        <f t="shared" si="6"/>
        <v>54.199999999999996</v>
      </c>
      <c r="F18" s="321">
        <f t="shared" si="6"/>
        <v>32.35</v>
      </c>
      <c r="G18" s="320">
        <f t="shared" si="6"/>
        <v>83.8</v>
      </c>
      <c r="H18" s="321">
        <f t="shared" si="6"/>
        <v>559</v>
      </c>
      <c r="I18" s="322">
        <f t="shared" si="6"/>
        <v>1369</v>
      </c>
      <c r="J18" s="321">
        <f t="shared" si="6"/>
        <v>167.38</v>
      </c>
      <c r="K18" s="319">
        <f t="shared" si="6"/>
        <v>461</v>
      </c>
      <c r="L18" s="321">
        <f t="shared" si="6"/>
        <v>271.81</v>
      </c>
      <c r="M18" s="319">
        <f t="shared" si="6"/>
        <v>740.2199999999999</v>
      </c>
      <c r="N18" s="321">
        <f t="shared" si="6"/>
        <v>40.31</v>
      </c>
      <c r="O18" s="319">
        <f t="shared" si="6"/>
        <v>127.50999999999999</v>
      </c>
      <c r="P18" s="321">
        <f t="shared" si="6"/>
        <v>88.42999999999999</v>
      </c>
      <c r="Q18" s="319">
        <f t="shared" si="6"/>
        <v>224.56999999999996</v>
      </c>
      <c r="R18" s="321">
        <f t="shared" si="6"/>
        <v>195.84</v>
      </c>
      <c r="S18" s="319">
        <f t="shared" si="6"/>
        <v>543.63</v>
      </c>
      <c r="T18" s="321">
        <f t="shared" si="6"/>
        <v>100.16</v>
      </c>
      <c r="U18" s="319">
        <f t="shared" si="6"/>
        <v>249.47</v>
      </c>
      <c r="V18" s="321">
        <f t="shared" si="6"/>
        <v>2100.69</v>
      </c>
      <c r="W18" s="319">
        <f t="shared" si="6"/>
        <v>5999.200000000001</v>
      </c>
      <c r="X18" s="321">
        <f t="shared" si="6"/>
        <v>2188</v>
      </c>
      <c r="Y18" s="319">
        <f t="shared" si="6"/>
        <v>5791.3</v>
      </c>
      <c r="Z18" s="321">
        <f t="shared" si="6"/>
        <v>92.6206</v>
      </c>
      <c r="AA18" s="319">
        <f t="shared" si="6"/>
        <v>292.11</v>
      </c>
      <c r="AB18" s="319">
        <f t="shared" si="6"/>
        <v>234.82999999999998</v>
      </c>
      <c r="AC18" s="319">
        <f t="shared" si="6"/>
        <v>569.7299999999999</v>
      </c>
      <c r="AD18" s="321">
        <f t="shared" si="6"/>
        <v>663.3700000000001</v>
      </c>
      <c r="AE18" s="319">
        <f t="shared" si="6"/>
        <v>1482.0399999999997</v>
      </c>
      <c r="AF18" s="319">
        <f t="shared" si="6"/>
        <v>1284.6299999999999</v>
      </c>
      <c r="AG18" s="319">
        <f t="shared" si="6"/>
        <v>3392.93</v>
      </c>
      <c r="AH18" s="321">
        <f t="shared" si="6"/>
        <v>349.35999999999996</v>
      </c>
      <c r="AI18" s="319">
        <f aca="true" t="shared" si="7" ref="AI18:AU18">AI16+AI17</f>
        <v>923.42</v>
      </c>
      <c r="AJ18" s="319">
        <f t="shared" si="7"/>
        <v>238.96</v>
      </c>
      <c r="AK18" s="319">
        <f t="shared" si="7"/>
        <v>670.7900000000001</v>
      </c>
      <c r="AL18" s="321">
        <f t="shared" si="7"/>
        <v>0</v>
      </c>
      <c r="AM18" s="319">
        <f t="shared" si="7"/>
        <v>0</v>
      </c>
      <c r="AN18" s="321">
        <f t="shared" si="7"/>
        <v>3547</v>
      </c>
      <c r="AO18" s="319">
        <f t="shared" si="7"/>
        <v>8395</v>
      </c>
      <c r="AP18" s="321">
        <f t="shared" si="7"/>
        <v>130.55</v>
      </c>
      <c r="AQ18" s="319">
        <f t="shared" si="7"/>
        <v>341.58</v>
      </c>
      <c r="AR18" s="321">
        <f t="shared" si="7"/>
        <v>194.1859</v>
      </c>
      <c r="AS18" s="319">
        <f t="shared" si="7"/>
        <v>459.2771</v>
      </c>
      <c r="AT18" s="321">
        <f t="shared" si="7"/>
        <v>838.65</v>
      </c>
      <c r="AU18" s="319">
        <f t="shared" si="7"/>
        <v>2078.96</v>
      </c>
      <c r="AV18" s="324">
        <f t="shared" si="0"/>
        <v>13853.236499999999</v>
      </c>
      <c r="AW18" s="323">
        <f t="shared" si="1"/>
        <v>34994.737100000006</v>
      </c>
      <c r="AX18" s="324">
        <f>AX16+AX17</f>
        <v>13417.16</v>
      </c>
      <c r="AY18" s="324">
        <f>AY16+AY17</f>
        <v>38253.19</v>
      </c>
      <c r="AZ18" s="324">
        <f t="shared" si="2"/>
        <v>27270.3965</v>
      </c>
      <c r="BA18" s="325">
        <f t="shared" si="3"/>
        <v>73247.9271</v>
      </c>
      <c r="BB18" s="596"/>
      <c r="BC18" s="596"/>
      <c r="BD18" s="596"/>
      <c r="BE18" s="596"/>
      <c r="BF18" s="596"/>
    </row>
    <row r="19" spans="46:47" ht="16.5">
      <c r="AT19" s="57"/>
      <c r="AU19" s="57"/>
    </row>
  </sheetData>
  <sheetProtection/>
  <mergeCells count="29"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J3:K3"/>
    <mergeCell ref="L3:M3"/>
    <mergeCell ref="N3:O3"/>
    <mergeCell ref="AB3:AC3"/>
    <mergeCell ref="AD3:AE3"/>
    <mergeCell ref="AF3:AG3"/>
    <mergeCell ref="V3:W3"/>
    <mergeCell ref="X3:Y3"/>
    <mergeCell ref="Z3:AA3"/>
  </mergeCells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BB18"/>
  <sheetViews>
    <sheetView zoomScalePageLayoutView="0" workbookViewId="0" topLeftCell="A1">
      <pane xSplit="1" topLeftCell="AO1" activePane="topRight" state="frozen"/>
      <selection pane="topLeft" activeCell="A1" sqref="A1"/>
      <selection pane="topRight" activeCell="BB9" sqref="BB9"/>
    </sheetView>
  </sheetViews>
  <sheetFormatPr defaultColWidth="9.140625" defaultRowHeight="15"/>
  <cols>
    <col min="1" max="1" width="21.57421875" style="6" customWidth="1"/>
    <col min="2" max="2" width="11.421875" style="6" bestFit="1" customWidth="1"/>
    <col min="3" max="3" width="12.421875" style="6" bestFit="1" customWidth="1"/>
    <col min="4" max="4" width="11.421875" style="6" bestFit="1" customWidth="1"/>
    <col min="5" max="5" width="12.421875" style="6" bestFit="1" customWidth="1"/>
    <col min="6" max="6" width="11.421875" style="6" bestFit="1" customWidth="1"/>
    <col min="7" max="7" width="12.421875" style="6" bestFit="1" customWidth="1"/>
    <col min="8" max="8" width="11.421875" style="6" bestFit="1" customWidth="1"/>
    <col min="9" max="9" width="12.421875" style="6" bestFit="1" customWidth="1"/>
    <col min="10" max="10" width="11.421875" style="6" bestFit="1" customWidth="1"/>
    <col min="11" max="11" width="12.421875" style="6" bestFit="1" customWidth="1"/>
    <col min="12" max="12" width="11.421875" style="6" bestFit="1" customWidth="1"/>
    <col min="13" max="13" width="12.421875" style="6" bestFit="1" customWidth="1"/>
    <col min="14" max="14" width="11.421875" style="6" bestFit="1" customWidth="1"/>
    <col min="15" max="15" width="12.421875" style="6" bestFit="1" customWidth="1"/>
    <col min="16" max="16" width="11.421875" style="6" bestFit="1" customWidth="1"/>
    <col min="17" max="17" width="12.421875" style="6" bestFit="1" customWidth="1"/>
    <col min="18" max="18" width="11.421875" style="6" bestFit="1" customWidth="1"/>
    <col min="19" max="19" width="12.421875" style="6" bestFit="1" customWidth="1"/>
    <col min="20" max="20" width="11.421875" style="6" bestFit="1" customWidth="1"/>
    <col min="21" max="21" width="12.421875" style="6" bestFit="1" customWidth="1"/>
    <col min="22" max="22" width="11.421875" style="6" bestFit="1" customWidth="1"/>
    <col min="23" max="23" width="11.57421875" style="6" customWidth="1"/>
    <col min="24" max="24" width="11.421875" style="6" bestFit="1" customWidth="1"/>
    <col min="25" max="25" width="12.421875" style="6" bestFit="1" customWidth="1"/>
    <col min="26" max="26" width="11.421875" style="21" bestFit="1" customWidth="1"/>
    <col min="27" max="27" width="12.421875" style="21" bestFit="1" customWidth="1"/>
    <col min="28" max="28" width="11.421875" style="6" bestFit="1" customWidth="1"/>
    <col min="29" max="29" width="12.421875" style="6" bestFit="1" customWidth="1"/>
    <col min="30" max="30" width="11.421875" style="6" bestFit="1" customWidth="1"/>
    <col min="31" max="31" width="12.421875" style="6" bestFit="1" customWidth="1"/>
    <col min="32" max="32" width="11.421875" style="6" bestFit="1" customWidth="1"/>
    <col min="33" max="33" width="12.421875" style="6" bestFit="1" customWidth="1"/>
    <col min="34" max="34" width="11.421875" style="6" bestFit="1" customWidth="1"/>
    <col min="35" max="35" width="12.421875" style="6" bestFit="1" customWidth="1"/>
    <col min="36" max="36" width="11.421875" style="6" bestFit="1" customWidth="1"/>
    <col min="37" max="37" width="12.421875" style="6" bestFit="1" customWidth="1"/>
    <col min="38" max="38" width="11.421875" style="6" bestFit="1" customWidth="1"/>
    <col min="39" max="39" width="12.421875" style="6" bestFit="1" customWidth="1"/>
    <col min="40" max="40" width="11.421875" style="6" bestFit="1" customWidth="1"/>
    <col min="41" max="41" width="12.421875" style="6" bestFit="1" customWidth="1"/>
    <col min="42" max="42" width="11.421875" style="6" bestFit="1" customWidth="1"/>
    <col min="43" max="43" width="12.421875" style="6" bestFit="1" customWidth="1"/>
    <col min="44" max="44" width="11.421875" style="6" bestFit="1" customWidth="1"/>
    <col min="45" max="45" width="12.421875" style="6" bestFit="1" customWidth="1"/>
    <col min="46" max="46" width="11.421875" style="6" bestFit="1" customWidth="1"/>
    <col min="47" max="47" width="12.421875" style="6" bestFit="1" customWidth="1"/>
    <col min="48" max="48" width="11.421875" style="6" bestFit="1" customWidth="1"/>
    <col min="49" max="49" width="12.421875" style="6" bestFit="1" customWidth="1"/>
    <col min="50" max="50" width="11.421875" style="6" bestFit="1" customWidth="1"/>
    <col min="51" max="51" width="12.421875" style="6" bestFit="1" customWidth="1"/>
    <col min="52" max="52" width="11.421875" style="6" bestFit="1" customWidth="1"/>
    <col min="53" max="53" width="12.421875" style="6" bestFit="1" customWidth="1"/>
    <col min="54" max="54" width="9.57421875" style="6" bestFit="1" customWidth="1"/>
    <col min="55" max="16384" width="9.140625" style="6" customWidth="1"/>
  </cols>
  <sheetData>
    <row r="1" spans="1:53" ht="28.5" customHeight="1">
      <c r="A1" s="1313" t="s">
        <v>116</v>
      </c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  <c r="O1" s="1313"/>
      <c r="P1" s="1313"/>
      <c r="Q1" s="1313"/>
      <c r="R1" s="1313"/>
      <c r="S1" s="1313"/>
      <c r="T1" s="1313"/>
      <c r="U1" s="1313"/>
      <c r="V1" s="1313"/>
      <c r="W1" s="1313"/>
      <c r="X1" s="1313"/>
      <c r="Y1" s="1313"/>
      <c r="Z1" s="1313"/>
      <c r="AA1" s="1313"/>
      <c r="AB1" s="1313"/>
      <c r="AC1" s="1313"/>
      <c r="AD1" s="1313"/>
      <c r="AE1" s="1313"/>
      <c r="AF1" s="1313"/>
      <c r="AG1" s="1313"/>
      <c r="AH1" s="1313"/>
      <c r="AI1" s="1313"/>
      <c r="AJ1" s="1313"/>
      <c r="AK1" s="1313"/>
      <c r="AL1" s="1313"/>
      <c r="AM1" s="1313"/>
      <c r="AN1" s="1313"/>
      <c r="AO1" s="1313"/>
      <c r="AP1" s="1313"/>
      <c r="AQ1" s="1313"/>
      <c r="AR1" s="1313"/>
      <c r="AS1" s="1313"/>
      <c r="AT1" s="1313"/>
      <c r="AU1" s="1313"/>
      <c r="AV1" s="1313"/>
      <c r="AW1" s="1313"/>
      <c r="AX1" s="1313"/>
      <c r="AY1" s="1313"/>
      <c r="AZ1" s="1313"/>
      <c r="BA1" s="23"/>
    </row>
    <row r="2" spans="1:53" ht="15" thickBot="1">
      <c r="A2" s="1207"/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207"/>
      <c r="T2" s="1207"/>
      <c r="U2" s="1207"/>
      <c r="V2" s="1207"/>
      <c r="W2" s="1207"/>
      <c r="X2" s="1207"/>
      <c r="Y2" s="1207"/>
      <c r="Z2" s="1207"/>
      <c r="AA2" s="1207"/>
      <c r="AB2" s="1207"/>
      <c r="AC2" s="1207"/>
      <c r="AD2" s="1207"/>
      <c r="AE2" s="1207"/>
      <c r="AF2" s="1207"/>
      <c r="AG2" s="1207"/>
      <c r="AH2" s="1207"/>
      <c r="AI2" s="1207"/>
      <c r="AJ2" s="1207"/>
      <c r="AK2" s="1207"/>
      <c r="AL2" s="1207"/>
      <c r="AM2" s="1207"/>
      <c r="AN2" s="1207"/>
      <c r="AO2" s="1207"/>
      <c r="AP2" s="1207"/>
      <c r="AQ2" s="1207"/>
      <c r="AR2" s="1207"/>
      <c r="AS2" s="1207"/>
      <c r="AT2" s="1207"/>
      <c r="AU2" s="1207"/>
      <c r="AV2" s="1207"/>
      <c r="AW2" s="1207"/>
      <c r="AX2" s="1207"/>
      <c r="AY2" s="1207"/>
      <c r="AZ2" s="1207"/>
      <c r="BA2" s="24"/>
    </row>
    <row r="3" spans="1:53" ht="24" customHeight="1" thickBot="1">
      <c r="A3" s="1314" t="s">
        <v>14</v>
      </c>
      <c r="B3" s="1314" t="s">
        <v>117</v>
      </c>
      <c r="C3" s="1316"/>
      <c r="D3" s="1310" t="s">
        <v>118</v>
      </c>
      <c r="E3" s="1311"/>
      <c r="F3" s="1309" t="s">
        <v>119</v>
      </c>
      <c r="G3" s="1309"/>
      <c r="H3" s="1310" t="s">
        <v>120</v>
      </c>
      <c r="I3" s="1311"/>
      <c r="J3" s="1309" t="s">
        <v>121</v>
      </c>
      <c r="K3" s="1309"/>
      <c r="L3" s="1310" t="s">
        <v>122</v>
      </c>
      <c r="M3" s="1311"/>
      <c r="N3" s="1309" t="s">
        <v>123</v>
      </c>
      <c r="O3" s="1309"/>
      <c r="P3" s="1310" t="s">
        <v>124</v>
      </c>
      <c r="Q3" s="1309"/>
      <c r="R3" s="1310" t="s">
        <v>125</v>
      </c>
      <c r="S3" s="1311"/>
      <c r="T3" s="1309" t="s">
        <v>126</v>
      </c>
      <c r="U3" s="1309"/>
      <c r="V3" s="1310" t="s">
        <v>127</v>
      </c>
      <c r="W3" s="1311"/>
      <c r="X3" s="1309" t="s">
        <v>128</v>
      </c>
      <c r="Y3" s="1309"/>
      <c r="Z3" s="1151" t="s">
        <v>129</v>
      </c>
      <c r="AA3" s="1152"/>
      <c r="AB3" s="1310" t="s">
        <v>130</v>
      </c>
      <c r="AC3" s="1311"/>
      <c r="AD3" s="1312" t="s">
        <v>131</v>
      </c>
      <c r="AE3" s="1312"/>
      <c r="AF3" s="1310" t="s">
        <v>132</v>
      </c>
      <c r="AG3" s="1311"/>
      <c r="AH3" s="1310" t="s">
        <v>133</v>
      </c>
      <c r="AI3" s="1311"/>
      <c r="AJ3" s="1309" t="s">
        <v>134</v>
      </c>
      <c r="AK3" s="1309"/>
      <c r="AL3" s="1312" t="s">
        <v>135</v>
      </c>
      <c r="AM3" s="1312"/>
      <c r="AN3" s="1310" t="s">
        <v>136</v>
      </c>
      <c r="AO3" s="1311"/>
      <c r="AP3" s="1319" t="s">
        <v>137</v>
      </c>
      <c r="AQ3" s="1320"/>
      <c r="AR3" s="1321" t="s">
        <v>138</v>
      </c>
      <c r="AS3" s="1321"/>
      <c r="AT3" s="1319" t="s">
        <v>139</v>
      </c>
      <c r="AU3" s="1321"/>
      <c r="AV3" s="1319" t="s">
        <v>1</v>
      </c>
      <c r="AW3" s="1321"/>
      <c r="AX3" s="1317" t="s">
        <v>140</v>
      </c>
      <c r="AY3" s="1318"/>
      <c r="AZ3" s="1317" t="s">
        <v>2</v>
      </c>
      <c r="BA3" s="1318"/>
    </row>
    <row r="4" spans="1:53" ht="15" thickBot="1">
      <c r="A4" s="1315"/>
      <c r="B4" s="373" t="s">
        <v>297</v>
      </c>
      <c r="C4" s="374" t="s">
        <v>298</v>
      </c>
      <c r="D4" s="373" t="s">
        <v>297</v>
      </c>
      <c r="E4" s="375" t="s">
        <v>298</v>
      </c>
      <c r="F4" s="374" t="s">
        <v>297</v>
      </c>
      <c r="G4" s="374" t="s">
        <v>298</v>
      </c>
      <c r="H4" s="373" t="s">
        <v>297</v>
      </c>
      <c r="I4" s="375" t="s">
        <v>298</v>
      </c>
      <c r="J4" s="374" t="s">
        <v>297</v>
      </c>
      <c r="K4" s="374" t="s">
        <v>298</v>
      </c>
      <c r="L4" s="373" t="s">
        <v>297</v>
      </c>
      <c r="M4" s="375" t="s">
        <v>298</v>
      </c>
      <c r="N4" s="374" t="s">
        <v>297</v>
      </c>
      <c r="O4" s="374" t="s">
        <v>298</v>
      </c>
      <c r="P4" s="373" t="s">
        <v>297</v>
      </c>
      <c r="Q4" s="374" t="s">
        <v>298</v>
      </c>
      <c r="R4" s="373" t="s">
        <v>297</v>
      </c>
      <c r="S4" s="375" t="s">
        <v>298</v>
      </c>
      <c r="T4" s="374" t="s">
        <v>297</v>
      </c>
      <c r="U4" s="374" t="s">
        <v>298</v>
      </c>
      <c r="V4" s="373" t="s">
        <v>297</v>
      </c>
      <c r="W4" s="375" t="s">
        <v>298</v>
      </c>
      <c r="X4" s="374" t="s">
        <v>297</v>
      </c>
      <c r="Y4" s="374" t="s">
        <v>298</v>
      </c>
      <c r="Z4" s="373" t="s">
        <v>297</v>
      </c>
      <c r="AA4" s="374" t="s">
        <v>298</v>
      </c>
      <c r="AB4" s="373" t="s">
        <v>297</v>
      </c>
      <c r="AC4" s="375" t="s">
        <v>298</v>
      </c>
      <c r="AD4" s="374" t="s">
        <v>297</v>
      </c>
      <c r="AE4" s="374" t="s">
        <v>298</v>
      </c>
      <c r="AF4" s="373" t="s">
        <v>297</v>
      </c>
      <c r="AG4" s="375" t="s">
        <v>298</v>
      </c>
      <c r="AH4" s="373" t="s">
        <v>297</v>
      </c>
      <c r="AI4" s="375" t="s">
        <v>298</v>
      </c>
      <c r="AJ4" s="374" t="s">
        <v>297</v>
      </c>
      <c r="AK4" s="374" t="s">
        <v>298</v>
      </c>
      <c r="AL4" s="373" t="s">
        <v>297</v>
      </c>
      <c r="AM4" s="374" t="s">
        <v>298</v>
      </c>
      <c r="AN4" s="589" t="s">
        <v>297</v>
      </c>
      <c r="AO4" s="591" t="s">
        <v>298</v>
      </c>
      <c r="AP4" s="373" t="s">
        <v>297</v>
      </c>
      <c r="AQ4" s="375" t="s">
        <v>298</v>
      </c>
      <c r="AR4" s="374" t="s">
        <v>297</v>
      </c>
      <c r="AS4" s="374" t="s">
        <v>298</v>
      </c>
      <c r="AT4" s="373" t="s">
        <v>297</v>
      </c>
      <c r="AU4" s="374" t="s">
        <v>298</v>
      </c>
      <c r="AV4" s="373" t="s">
        <v>297</v>
      </c>
      <c r="AW4" s="374" t="s">
        <v>298</v>
      </c>
      <c r="AX4" s="373" t="s">
        <v>297</v>
      </c>
      <c r="AY4" s="375" t="s">
        <v>298</v>
      </c>
      <c r="AZ4" s="373" t="s">
        <v>297</v>
      </c>
      <c r="BA4" s="375" t="s">
        <v>298</v>
      </c>
    </row>
    <row r="5" spans="1:54" ht="15">
      <c r="A5" s="25" t="s">
        <v>3</v>
      </c>
      <c r="B5" s="26">
        <v>35273</v>
      </c>
      <c r="C5" s="27">
        <v>67888</v>
      </c>
      <c r="D5" s="31">
        <v>-13</v>
      </c>
      <c r="E5" s="30">
        <v>-14</v>
      </c>
      <c r="F5" s="28">
        <v>1717</v>
      </c>
      <c r="G5" s="29">
        <v>4784</v>
      </c>
      <c r="H5" s="31">
        <v>36158</v>
      </c>
      <c r="I5" s="30">
        <v>89487</v>
      </c>
      <c r="J5" s="28">
        <v>15069</v>
      </c>
      <c r="K5" s="29">
        <v>43839</v>
      </c>
      <c r="L5" s="269">
        <v>86</v>
      </c>
      <c r="M5" s="33">
        <v>190</v>
      </c>
      <c r="N5" s="28">
        <v>3903</v>
      </c>
      <c r="O5" s="29">
        <v>10581</v>
      </c>
      <c r="P5" s="31">
        <v>10118</v>
      </c>
      <c r="Q5" s="840">
        <v>29206</v>
      </c>
      <c r="R5" s="31">
        <v>21309</v>
      </c>
      <c r="S5" s="30">
        <v>59687</v>
      </c>
      <c r="T5" s="28">
        <v>1807</v>
      </c>
      <c r="U5" s="840">
        <v>4727</v>
      </c>
      <c r="V5" s="31">
        <v>33641</v>
      </c>
      <c r="W5" s="30">
        <v>101623</v>
      </c>
      <c r="X5" s="28">
        <v>43608</v>
      </c>
      <c r="Y5" s="29">
        <v>119150</v>
      </c>
      <c r="Z5" s="34">
        <v>673</v>
      </c>
      <c r="AA5" s="843">
        <v>3740</v>
      </c>
      <c r="AB5" s="31">
        <v>1543</v>
      </c>
      <c r="AC5" s="30">
        <v>4995</v>
      </c>
      <c r="AD5" s="28">
        <v>42446</v>
      </c>
      <c r="AE5" s="840">
        <v>110890</v>
      </c>
      <c r="AF5" s="31">
        <v>38226</v>
      </c>
      <c r="AG5" s="30">
        <v>108071</v>
      </c>
      <c r="AH5" s="31">
        <v>2293</v>
      </c>
      <c r="AI5" s="30">
        <v>6038</v>
      </c>
      <c r="AJ5" s="164">
        <v>22938</v>
      </c>
      <c r="AK5" s="165">
        <v>75659</v>
      </c>
      <c r="AL5" s="254"/>
      <c r="AM5" s="688"/>
      <c r="AN5" s="846">
        <v>167849</v>
      </c>
      <c r="AO5" s="847">
        <v>414454</v>
      </c>
      <c r="AP5" s="858">
        <v>1472</v>
      </c>
      <c r="AQ5" s="859">
        <v>4183</v>
      </c>
      <c r="AR5" s="35">
        <v>-1</v>
      </c>
      <c r="AS5" s="36">
        <v>32</v>
      </c>
      <c r="AT5" s="31">
        <v>33023</v>
      </c>
      <c r="AU5" s="29">
        <v>89447</v>
      </c>
      <c r="AV5" s="252">
        <f aca="true" t="shared" si="0" ref="AV5:AV18">SUM(B5+D5+F5+H5+J5+L5+N5+P5+R5+T5+V5+X5+Z5+AB5+AD5+AF5+AH5+AJ5+AL5+AN5+AP5+AR5+AT5)</f>
        <v>513138</v>
      </c>
      <c r="AW5" s="252">
        <f aca="true" t="shared" si="1" ref="AW5:AW18">SUM(C5+E5+G5+I5+K5+M5+O5+Q5+S5+U5+W5+Y5+AA5+AC5+AE5+AG5+AI5+AK5+AM5+AO5+AQ5+AS5+AU5)</f>
        <v>1348657</v>
      </c>
      <c r="AX5" s="253">
        <v>6695546</v>
      </c>
      <c r="AY5" s="790">
        <v>14763443</v>
      </c>
      <c r="AZ5" s="252">
        <f aca="true" t="shared" si="2" ref="AZ5:AZ18">AV5+AX5</f>
        <v>7208684</v>
      </c>
      <c r="BA5" s="37">
        <f aca="true" t="shared" si="3" ref="BA5:BA18">AW5+AY5</f>
        <v>16112100</v>
      </c>
      <c r="BB5" s="38"/>
    </row>
    <row r="6" spans="1:53" ht="15">
      <c r="A6" s="25" t="s">
        <v>4</v>
      </c>
      <c r="B6" s="39">
        <v>30882</v>
      </c>
      <c r="C6" s="27">
        <v>42557</v>
      </c>
      <c r="D6" s="11">
        <v>14</v>
      </c>
      <c r="E6" s="30">
        <v>55</v>
      </c>
      <c r="F6" s="13">
        <v>1983</v>
      </c>
      <c r="G6" s="29">
        <v>3580</v>
      </c>
      <c r="H6" s="11">
        <v>18887</v>
      </c>
      <c r="I6" s="30">
        <v>49036</v>
      </c>
      <c r="J6" s="13">
        <v>14859</v>
      </c>
      <c r="K6" s="29">
        <v>64616</v>
      </c>
      <c r="L6" s="11">
        <v>42012</v>
      </c>
      <c r="M6" s="14">
        <v>104996</v>
      </c>
      <c r="N6" s="13">
        <v>367</v>
      </c>
      <c r="O6" s="29">
        <v>1571</v>
      </c>
      <c r="P6" s="11">
        <v>1719</v>
      </c>
      <c r="Q6" s="840">
        <v>4565</v>
      </c>
      <c r="R6" s="11">
        <v>3732</v>
      </c>
      <c r="S6" s="30">
        <v>11526</v>
      </c>
      <c r="T6" s="13">
        <v>4657</v>
      </c>
      <c r="U6" s="840">
        <v>14931</v>
      </c>
      <c r="V6" s="11">
        <v>91131</v>
      </c>
      <c r="W6" s="30">
        <v>249707</v>
      </c>
      <c r="X6" s="13">
        <v>96866</v>
      </c>
      <c r="Y6" s="29">
        <v>276315</v>
      </c>
      <c r="Z6" s="40">
        <v>9523</v>
      </c>
      <c r="AA6" s="843">
        <v>32252</v>
      </c>
      <c r="AB6" s="11">
        <v>38911</v>
      </c>
      <c r="AC6" s="30">
        <v>100627</v>
      </c>
      <c r="AD6" s="13">
        <v>24552</v>
      </c>
      <c r="AE6" s="840">
        <v>53174</v>
      </c>
      <c r="AF6" s="11">
        <v>82072</v>
      </c>
      <c r="AG6" s="30">
        <v>224555</v>
      </c>
      <c r="AH6" s="11">
        <v>33157</v>
      </c>
      <c r="AI6" s="30">
        <v>92942</v>
      </c>
      <c r="AJ6" s="164">
        <v>871</v>
      </c>
      <c r="AK6" s="165">
        <v>3476</v>
      </c>
      <c r="AL6" s="255"/>
      <c r="AM6" s="171"/>
      <c r="AN6" s="848">
        <v>270516</v>
      </c>
      <c r="AO6" s="849">
        <v>704801</v>
      </c>
      <c r="AP6" s="703">
        <v>217</v>
      </c>
      <c r="AQ6" s="859">
        <v>616</v>
      </c>
      <c r="AR6" s="15">
        <v>22226</v>
      </c>
      <c r="AS6" s="36">
        <v>56590</v>
      </c>
      <c r="AT6" s="11">
        <v>51869</v>
      </c>
      <c r="AU6" s="29">
        <v>111905</v>
      </c>
      <c r="AV6" s="252">
        <f t="shared" si="0"/>
        <v>841023</v>
      </c>
      <c r="AW6" s="252">
        <f t="shared" si="1"/>
        <v>2204393</v>
      </c>
      <c r="AX6" s="170">
        <v>67025</v>
      </c>
      <c r="AY6" s="790">
        <v>158931</v>
      </c>
      <c r="AZ6" s="252">
        <f t="shared" si="2"/>
        <v>908048</v>
      </c>
      <c r="BA6" s="37">
        <f t="shared" si="3"/>
        <v>2363324</v>
      </c>
    </row>
    <row r="7" spans="1:53" ht="15">
      <c r="A7" s="25" t="s">
        <v>5</v>
      </c>
      <c r="B7" s="39">
        <v>26</v>
      </c>
      <c r="C7" s="27">
        <v>16</v>
      </c>
      <c r="D7" s="11">
        <v>126</v>
      </c>
      <c r="E7" s="30">
        <v>324</v>
      </c>
      <c r="F7" s="13">
        <v>243</v>
      </c>
      <c r="G7" s="29">
        <v>875</v>
      </c>
      <c r="H7" s="11">
        <v>11615</v>
      </c>
      <c r="I7" s="30">
        <v>29236</v>
      </c>
      <c r="J7" s="13">
        <v>4055</v>
      </c>
      <c r="K7" s="29">
        <v>10131</v>
      </c>
      <c r="L7" s="11">
        <v>349</v>
      </c>
      <c r="M7" s="14">
        <v>688</v>
      </c>
      <c r="N7" s="13">
        <v>591</v>
      </c>
      <c r="O7" s="29">
        <v>1689</v>
      </c>
      <c r="P7" s="11">
        <v>418</v>
      </c>
      <c r="Q7" s="840">
        <v>2059</v>
      </c>
      <c r="R7" s="11">
        <v>2472</v>
      </c>
      <c r="S7" s="30">
        <v>9089</v>
      </c>
      <c r="T7" s="13">
        <v>1478</v>
      </c>
      <c r="U7" s="840">
        <v>4305</v>
      </c>
      <c r="V7" s="11">
        <v>13093</v>
      </c>
      <c r="W7" s="30">
        <v>40318</v>
      </c>
      <c r="X7" s="13">
        <v>8369</v>
      </c>
      <c r="Y7" s="29">
        <v>20026</v>
      </c>
      <c r="Z7" s="40"/>
      <c r="AA7" s="843"/>
      <c r="AB7" s="11">
        <v>1614</v>
      </c>
      <c r="AC7" s="30">
        <v>5308</v>
      </c>
      <c r="AD7" s="13">
        <v>186</v>
      </c>
      <c r="AE7" s="840">
        <v>473</v>
      </c>
      <c r="AF7" s="11">
        <v>2287</v>
      </c>
      <c r="AG7" s="30">
        <v>6106</v>
      </c>
      <c r="AH7" s="11">
        <v>735</v>
      </c>
      <c r="AI7" s="30">
        <v>1027</v>
      </c>
      <c r="AJ7" s="164">
        <v>4749</v>
      </c>
      <c r="AK7" s="165">
        <v>14287</v>
      </c>
      <c r="AL7" s="255"/>
      <c r="AM7" s="171"/>
      <c r="AN7" s="848">
        <v>12030</v>
      </c>
      <c r="AO7" s="849">
        <v>25198</v>
      </c>
      <c r="AP7" s="703">
        <v>41355</v>
      </c>
      <c r="AQ7" s="859">
        <v>111589</v>
      </c>
      <c r="AR7" s="15"/>
      <c r="AS7" s="36"/>
      <c r="AT7" s="11">
        <v>1095</v>
      </c>
      <c r="AU7" s="29">
        <v>2571</v>
      </c>
      <c r="AV7" s="252">
        <f t="shared" si="0"/>
        <v>106886</v>
      </c>
      <c r="AW7" s="252">
        <f t="shared" si="1"/>
        <v>285315</v>
      </c>
      <c r="AX7" s="170">
        <v>6768</v>
      </c>
      <c r="AY7" s="790">
        <v>18525</v>
      </c>
      <c r="AZ7" s="252">
        <f t="shared" si="2"/>
        <v>113654</v>
      </c>
      <c r="BA7" s="37">
        <f t="shared" si="3"/>
        <v>303840</v>
      </c>
    </row>
    <row r="8" spans="1:53" ht="15">
      <c r="A8" s="25" t="s">
        <v>6</v>
      </c>
      <c r="B8" s="39">
        <v>98</v>
      </c>
      <c r="C8" s="27">
        <v>588</v>
      </c>
      <c r="D8" s="11">
        <v>253</v>
      </c>
      <c r="E8" s="30">
        <v>525</v>
      </c>
      <c r="F8" s="13">
        <v>118</v>
      </c>
      <c r="G8" s="29">
        <v>341</v>
      </c>
      <c r="H8" s="11">
        <v>3848</v>
      </c>
      <c r="I8" s="30">
        <v>10722</v>
      </c>
      <c r="J8" s="13">
        <v>9657</v>
      </c>
      <c r="K8" s="29">
        <v>29777</v>
      </c>
      <c r="L8" s="11">
        <v>644</v>
      </c>
      <c r="M8" s="14">
        <v>970</v>
      </c>
      <c r="N8" s="13">
        <v>-12</v>
      </c>
      <c r="O8" s="29">
        <v>-29</v>
      </c>
      <c r="P8" s="11">
        <v>733</v>
      </c>
      <c r="Q8" s="840">
        <v>1460</v>
      </c>
      <c r="R8" s="11">
        <v>16475</v>
      </c>
      <c r="S8" s="30">
        <v>46276</v>
      </c>
      <c r="T8" s="13">
        <v>565</v>
      </c>
      <c r="U8" s="840">
        <v>1389</v>
      </c>
      <c r="V8" s="11">
        <v>10152</v>
      </c>
      <c r="W8" s="30">
        <v>38709</v>
      </c>
      <c r="X8" s="13">
        <v>10459</v>
      </c>
      <c r="Y8" s="29">
        <v>30109</v>
      </c>
      <c r="Z8" s="40">
        <v>-1</v>
      </c>
      <c r="AA8" s="843">
        <v>-4</v>
      </c>
      <c r="AB8" s="11">
        <v>504</v>
      </c>
      <c r="AC8" s="30">
        <v>1837</v>
      </c>
      <c r="AD8" s="13">
        <v>1506</v>
      </c>
      <c r="AE8" s="840">
        <v>4500</v>
      </c>
      <c r="AF8" s="11">
        <v>-22</v>
      </c>
      <c r="AG8" s="30">
        <v>-36</v>
      </c>
      <c r="AH8" s="11">
        <v>883</v>
      </c>
      <c r="AI8" s="30">
        <v>2758</v>
      </c>
      <c r="AJ8" s="164">
        <v>2975</v>
      </c>
      <c r="AK8" s="165">
        <v>10353</v>
      </c>
      <c r="AL8" s="255"/>
      <c r="AM8" s="171"/>
      <c r="AN8" s="850">
        <v>110</v>
      </c>
      <c r="AO8" s="849">
        <v>164</v>
      </c>
      <c r="AP8" s="703">
        <v>2436</v>
      </c>
      <c r="AQ8" s="859">
        <v>5105</v>
      </c>
      <c r="AR8" s="15"/>
      <c r="AS8" s="36">
        <v>-1</v>
      </c>
      <c r="AT8" s="11">
        <v>5898</v>
      </c>
      <c r="AU8" s="29">
        <v>14724</v>
      </c>
      <c r="AV8" s="252">
        <f t="shared" si="0"/>
        <v>67279</v>
      </c>
      <c r="AW8" s="252">
        <f t="shared" si="1"/>
        <v>200237</v>
      </c>
      <c r="AX8" s="170">
        <v>428</v>
      </c>
      <c r="AY8" s="790">
        <v>1053</v>
      </c>
      <c r="AZ8" s="252">
        <f t="shared" si="2"/>
        <v>67707</v>
      </c>
      <c r="BA8" s="37">
        <f t="shared" si="3"/>
        <v>201290</v>
      </c>
    </row>
    <row r="9" spans="1:53" ht="15">
      <c r="A9" s="25" t="s">
        <v>7</v>
      </c>
      <c r="B9" s="39">
        <v>1625</v>
      </c>
      <c r="C9" s="27">
        <v>500</v>
      </c>
      <c r="D9" s="11"/>
      <c r="E9" s="30"/>
      <c r="F9" s="13"/>
      <c r="G9" s="29"/>
      <c r="H9" s="11"/>
      <c r="I9" s="30"/>
      <c r="J9" s="13"/>
      <c r="K9" s="29"/>
      <c r="L9" s="11"/>
      <c r="M9" s="14"/>
      <c r="N9" s="13"/>
      <c r="O9" s="29"/>
      <c r="P9" s="11">
        <v>212</v>
      </c>
      <c r="Q9" s="840">
        <v>646</v>
      </c>
      <c r="R9" s="11"/>
      <c r="S9" s="30"/>
      <c r="T9" s="13"/>
      <c r="U9" s="840"/>
      <c r="V9" s="11"/>
      <c r="W9" s="30"/>
      <c r="X9" s="13"/>
      <c r="Y9" s="29"/>
      <c r="Z9" s="40"/>
      <c r="AA9" s="843"/>
      <c r="AB9" s="11"/>
      <c r="AC9" s="30"/>
      <c r="AD9" s="516">
        <v>179</v>
      </c>
      <c r="AE9" s="840">
        <v>1690</v>
      </c>
      <c r="AF9" s="11"/>
      <c r="AG9" s="30"/>
      <c r="AH9" s="11"/>
      <c r="AI9" s="30"/>
      <c r="AJ9" s="164"/>
      <c r="AK9" s="165"/>
      <c r="AL9" s="255"/>
      <c r="AM9" s="171"/>
      <c r="AN9" s="851"/>
      <c r="AO9" s="849"/>
      <c r="AP9" s="703"/>
      <c r="AQ9" s="859"/>
      <c r="AR9" s="15"/>
      <c r="AS9" s="36"/>
      <c r="AT9" s="11">
        <v>27474</v>
      </c>
      <c r="AU9" s="29">
        <v>63977</v>
      </c>
      <c r="AV9" s="252">
        <f t="shared" si="0"/>
        <v>29490</v>
      </c>
      <c r="AW9" s="252">
        <f t="shared" si="1"/>
        <v>66813</v>
      </c>
      <c r="AX9" s="11">
        <v>241609</v>
      </c>
      <c r="AY9" s="790">
        <v>541281</v>
      </c>
      <c r="AZ9" s="31">
        <f t="shared" si="2"/>
        <v>271099</v>
      </c>
      <c r="BA9" s="519">
        <f t="shared" si="3"/>
        <v>608094</v>
      </c>
    </row>
    <row r="10" spans="1:53" ht="15">
      <c r="A10" s="25" t="s">
        <v>15</v>
      </c>
      <c r="B10" s="39"/>
      <c r="C10" s="27"/>
      <c r="D10" s="11"/>
      <c r="E10" s="30"/>
      <c r="F10" s="13"/>
      <c r="G10" s="29"/>
      <c r="H10" s="11"/>
      <c r="I10" s="30"/>
      <c r="J10" s="13"/>
      <c r="K10" s="29"/>
      <c r="L10" s="11"/>
      <c r="M10" s="14"/>
      <c r="N10" s="13"/>
      <c r="O10" s="29"/>
      <c r="P10" s="11"/>
      <c r="Q10" s="840"/>
      <c r="R10" s="11"/>
      <c r="S10" s="30"/>
      <c r="T10" s="13"/>
      <c r="U10" s="840"/>
      <c r="V10" s="11"/>
      <c r="W10" s="30"/>
      <c r="X10" s="13"/>
      <c r="Y10" s="29"/>
      <c r="Z10" s="11"/>
      <c r="AA10" s="843"/>
      <c r="AB10" s="11">
        <v>854</v>
      </c>
      <c r="AC10" s="30">
        <v>15431</v>
      </c>
      <c r="AD10" s="13"/>
      <c r="AE10" s="840"/>
      <c r="AF10" s="11"/>
      <c r="AG10" s="30"/>
      <c r="AH10" s="11"/>
      <c r="AI10" s="30"/>
      <c r="AJ10" s="164"/>
      <c r="AK10" s="165"/>
      <c r="AL10" s="255"/>
      <c r="AM10" s="171"/>
      <c r="AN10" s="851"/>
      <c r="AO10" s="849"/>
      <c r="AP10" s="703"/>
      <c r="AQ10" s="859"/>
      <c r="AR10" s="15"/>
      <c r="AS10" s="36"/>
      <c r="AT10" s="11"/>
      <c r="AU10" s="29"/>
      <c r="AV10" s="252">
        <f t="shared" si="0"/>
        <v>854</v>
      </c>
      <c r="AW10" s="252">
        <f t="shared" si="1"/>
        <v>15431</v>
      </c>
      <c r="AX10" s="170"/>
      <c r="AY10" s="790"/>
      <c r="AZ10" s="252">
        <f t="shared" si="2"/>
        <v>854</v>
      </c>
      <c r="BA10" s="37">
        <f t="shared" si="3"/>
        <v>15431</v>
      </c>
    </row>
    <row r="11" spans="1:53" ht="15">
      <c r="A11" s="25" t="s">
        <v>8</v>
      </c>
      <c r="B11" s="39">
        <v>2901</v>
      </c>
      <c r="C11" s="27">
        <v>5316</v>
      </c>
      <c r="D11" s="11">
        <v>18439</v>
      </c>
      <c r="E11" s="30">
        <v>31380</v>
      </c>
      <c r="F11" s="13">
        <v>1518</v>
      </c>
      <c r="G11" s="29">
        <v>4433</v>
      </c>
      <c r="H11" s="11">
        <v>5656</v>
      </c>
      <c r="I11" s="30">
        <v>14099</v>
      </c>
      <c r="J11" s="13">
        <v>4215</v>
      </c>
      <c r="K11" s="29">
        <v>17259</v>
      </c>
      <c r="L11" s="11">
        <v>1690</v>
      </c>
      <c r="M11" s="14">
        <v>4665</v>
      </c>
      <c r="N11" s="13">
        <v>5286</v>
      </c>
      <c r="O11" s="29">
        <v>16204</v>
      </c>
      <c r="P11" s="11">
        <v>6100</v>
      </c>
      <c r="Q11" s="840">
        <v>16065</v>
      </c>
      <c r="R11" s="11">
        <v>2338</v>
      </c>
      <c r="S11" s="30">
        <v>6161</v>
      </c>
      <c r="T11" s="13">
        <v>8436</v>
      </c>
      <c r="U11" s="840">
        <v>21159</v>
      </c>
      <c r="V11" s="11">
        <v>61012</v>
      </c>
      <c r="W11" s="30">
        <v>181035</v>
      </c>
      <c r="X11" s="13">
        <v>20362</v>
      </c>
      <c r="Y11" s="29">
        <v>57877</v>
      </c>
      <c r="Z11" s="11">
        <v>347</v>
      </c>
      <c r="AA11" s="843">
        <v>619</v>
      </c>
      <c r="AB11" s="11">
        <v>4066</v>
      </c>
      <c r="AC11" s="30">
        <v>7208</v>
      </c>
      <c r="AD11" s="13">
        <v>18360</v>
      </c>
      <c r="AE11" s="840">
        <v>46218</v>
      </c>
      <c r="AF11" s="11">
        <v>24775</v>
      </c>
      <c r="AG11" s="30">
        <v>72860</v>
      </c>
      <c r="AH11" s="11">
        <v>12186</v>
      </c>
      <c r="AI11" s="30">
        <v>35515</v>
      </c>
      <c r="AJ11" s="164">
        <v>16262</v>
      </c>
      <c r="AK11" s="165">
        <v>46731</v>
      </c>
      <c r="AL11" s="255"/>
      <c r="AM11" s="171"/>
      <c r="AN11" s="848">
        <v>3274</v>
      </c>
      <c r="AO11" s="849">
        <v>8882</v>
      </c>
      <c r="AP11" s="703">
        <v>24015</v>
      </c>
      <c r="AQ11" s="859">
        <v>63831</v>
      </c>
      <c r="AR11" s="15">
        <v>218</v>
      </c>
      <c r="AS11" s="36">
        <v>892</v>
      </c>
      <c r="AT11" s="11">
        <v>5036</v>
      </c>
      <c r="AU11" s="29">
        <v>17529</v>
      </c>
      <c r="AV11" s="252">
        <f t="shared" si="0"/>
        <v>246492</v>
      </c>
      <c r="AW11" s="252">
        <f t="shared" si="1"/>
        <v>675938</v>
      </c>
      <c r="AX11" s="170">
        <v>25688</v>
      </c>
      <c r="AY11" s="790">
        <v>56016</v>
      </c>
      <c r="AZ11" s="252">
        <f t="shared" si="2"/>
        <v>272180</v>
      </c>
      <c r="BA11" s="37">
        <f t="shared" si="3"/>
        <v>731954</v>
      </c>
    </row>
    <row r="12" spans="1:53" ht="15">
      <c r="A12" s="25" t="s">
        <v>16</v>
      </c>
      <c r="B12" s="39"/>
      <c r="C12" s="7"/>
      <c r="D12" s="11"/>
      <c r="E12" s="14"/>
      <c r="F12" s="13"/>
      <c r="G12" s="10"/>
      <c r="H12" s="11"/>
      <c r="I12" s="30"/>
      <c r="J12" s="13"/>
      <c r="K12" s="10"/>
      <c r="L12" s="11"/>
      <c r="M12" s="14"/>
      <c r="N12" s="13"/>
      <c r="O12" s="10"/>
      <c r="P12" s="11"/>
      <c r="Q12" s="686"/>
      <c r="R12" s="11">
        <v>187</v>
      </c>
      <c r="S12" s="30">
        <v>319</v>
      </c>
      <c r="T12" s="13"/>
      <c r="U12" s="686"/>
      <c r="V12" s="11"/>
      <c r="W12" s="30"/>
      <c r="X12" s="13"/>
      <c r="Y12" s="29"/>
      <c r="Z12" s="11"/>
      <c r="AA12" s="843"/>
      <c r="AB12" s="11"/>
      <c r="AC12" s="30"/>
      <c r="AD12" s="13">
        <v>262</v>
      </c>
      <c r="AE12" s="840">
        <v>1038</v>
      </c>
      <c r="AF12" s="11"/>
      <c r="AG12" s="30"/>
      <c r="AH12" s="11"/>
      <c r="AI12" s="30"/>
      <c r="AJ12" s="164"/>
      <c r="AK12" s="165"/>
      <c r="AL12" s="255"/>
      <c r="AM12" s="171"/>
      <c r="AN12" s="848"/>
      <c r="AO12" s="849"/>
      <c r="AP12" s="703"/>
      <c r="AQ12" s="859"/>
      <c r="AR12" s="15"/>
      <c r="AS12" s="36"/>
      <c r="AT12" s="11"/>
      <c r="AU12" s="29"/>
      <c r="AV12" s="252">
        <f t="shared" si="0"/>
        <v>449</v>
      </c>
      <c r="AW12" s="252">
        <f t="shared" si="1"/>
        <v>1357</v>
      </c>
      <c r="AX12" s="170"/>
      <c r="AY12" s="790"/>
      <c r="AZ12" s="252">
        <f t="shared" si="2"/>
        <v>449</v>
      </c>
      <c r="BA12" s="37">
        <f t="shared" si="3"/>
        <v>1357</v>
      </c>
    </row>
    <row r="13" spans="1:53" ht="15">
      <c r="A13" s="25" t="s">
        <v>17</v>
      </c>
      <c r="B13" s="39"/>
      <c r="C13" s="7"/>
      <c r="D13" s="11">
        <v>4</v>
      </c>
      <c r="E13" s="14">
        <v>4</v>
      </c>
      <c r="F13" s="13"/>
      <c r="G13" s="10"/>
      <c r="H13" s="11"/>
      <c r="I13" s="30"/>
      <c r="J13" s="13"/>
      <c r="K13" s="10"/>
      <c r="L13" s="11"/>
      <c r="M13" s="14"/>
      <c r="N13" s="13"/>
      <c r="O13" s="10"/>
      <c r="P13" s="11"/>
      <c r="Q13" s="686"/>
      <c r="R13" s="11"/>
      <c r="S13" s="30"/>
      <c r="T13" s="13"/>
      <c r="U13" s="686"/>
      <c r="V13" s="11">
        <v>37</v>
      </c>
      <c r="W13" s="30">
        <v>156</v>
      </c>
      <c r="X13" s="13">
        <v>121</v>
      </c>
      <c r="Y13" s="29">
        <v>445</v>
      </c>
      <c r="Z13" s="11"/>
      <c r="AA13" s="843"/>
      <c r="AB13" s="11"/>
      <c r="AC13" s="30"/>
      <c r="AD13" s="13"/>
      <c r="AE13" s="840"/>
      <c r="AF13" s="11"/>
      <c r="AG13" s="30"/>
      <c r="AH13" s="11"/>
      <c r="AI13" s="30"/>
      <c r="AJ13" s="164"/>
      <c r="AK13" s="165"/>
      <c r="AL13" s="255"/>
      <c r="AM13" s="171"/>
      <c r="AN13" s="848"/>
      <c r="AO13" s="849"/>
      <c r="AP13" s="703"/>
      <c r="AQ13" s="859"/>
      <c r="AR13" s="15"/>
      <c r="AS13" s="36"/>
      <c r="AT13" s="11"/>
      <c r="AU13" s="29"/>
      <c r="AV13" s="252">
        <f t="shared" si="0"/>
        <v>162</v>
      </c>
      <c r="AW13" s="252">
        <f t="shared" si="1"/>
        <v>605</v>
      </c>
      <c r="AX13" s="170">
        <v>2052</v>
      </c>
      <c r="AY13" s="790">
        <v>3291</v>
      </c>
      <c r="AZ13" s="252">
        <f t="shared" si="2"/>
        <v>2214</v>
      </c>
      <c r="BA13" s="37">
        <f t="shared" si="3"/>
        <v>3896</v>
      </c>
    </row>
    <row r="14" spans="1:53" ht="15">
      <c r="A14" s="25" t="s">
        <v>18</v>
      </c>
      <c r="B14" s="39"/>
      <c r="C14" s="7"/>
      <c r="D14" s="11"/>
      <c r="E14" s="14"/>
      <c r="F14" s="13"/>
      <c r="G14" s="10"/>
      <c r="H14" s="11">
        <v>252</v>
      </c>
      <c r="I14" s="30">
        <v>9846</v>
      </c>
      <c r="J14" s="13"/>
      <c r="K14" s="10"/>
      <c r="L14" s="11"/>
      <c r="M14" s="14"/>
      <c r="N14" s="13"/>
      <c r="O14" s="10"/>
      <c r="P14" s="11"/>
      <c r="Q14" s="686"/>
      <c r="R14" s="11"/>
      <c r="S14" s="14"/>
      <c r="T14" s="13"/>
      <c r="U14" s="686"/>
      <c r="V14" s="11"/>
      <c r="W14" s="30"/>
      <c r="X14" s="13">
        <v>10280</v>
      </c>
      <c r="Y14" s="29">
        <v>26374</v>
      </c>
      <c r="Z14" s="11"/>
      <c r="AA14" s="843"/>
      <c r="AB14" s="11"/>
      <c r="AC14" s="30"/>
      <c r="AD14" s="13"/>
      <c r="AE14" s="840"/>
      <c r="AF14" s="11"/>
      <c r="AG14" s="30"/>
      <c r="AH14" s="11"/>
      <c r="AI14" s="30"/>
      <c r="AJ14" s="164"/>
      <c r="AK14" s="165"/>
      <c r="AL14" s="255"/>
      <c r="AM14" s="171"/>
      <c r="AN14" s="848"/>
      <c r="AO14" s="849"/>
      <c r="AP14" s="703"/>
      <c r="AQ14" s="859"/>
      <c r="AR14" s="15"/>
      <c r="AS14" s="36"/>
      <c r="AT14" s="11"/>
      <c r="AU14" s="29"/>
      <c r="AV14" s="252">
        <f t="shared" si="0"/>
        <v>10532</v>
      </c>
      <c r="AW14" s="252">
        <f t="shared" si="1"/>
        <v>36220</v>
      </c>
      <c r="AX14" s="170"/>
      <c r="AY14" s="790"/>
      <c r="AZ14" s="252">
        <f t="shared" si="2"/>
        <v>10532</v>
      </c>
      <c r="BA14" s="37">
        <f t="shared" si="3"/>
        <v>36220</v>
      </c>
    </row>
    <row r="15" spans="1:53" ht="15.75" thickBot="1">
      <c r="A15" s="25" t="s">
        <v>19</v>
      </c>
      <c r="B15" s="469"/>
      <c r="C15" s="470"/>
      <c r="D15" s="474"/>
      <c r="E15" s="473"/>
      <c r="F15" s="471"/>
      <c r="G15" s="472"/>
      <c r="H15" s="474">
        <v>5848</v>
      </c>
      <c r="I15" s="473">
        <v>9778</v>
      </c>
      <c r="J15" s="471"/>
      <c r="K15" s="472"/>
      <c r="L15" s="474"/>
      <c r="M15" s="473"/>
      <c r="N15" s="471"/>
      <c r="O15" s="472"/>
      <c r="P15" s="474">
        <v>657</v>
      </c>
      <c r="Q15" s="841">
        <v>882</v>
      </c>
      <c r="R15" s="474"/>
      <c r="S15" s="473"/>
      <c r="T15" s="471"/>
      <c r="U15" s="841"/>
      <c r="V15" s="474">
        <v>10035</v>
      </c>
      <c r="W15" s="30">
        <v>27912</v>
      </c>
      <c r="X15" s="471">
        <v>8280</v>
      </c>
      <c r="Y15" s="29">
        <v>24984</v>
      </c>
      <c r="Z15" s="474"/>
      <c r="AA15" s="843"/>
      <c r="AB15" s="474"/>
      <c r="AC15" s="30"/>
      <c r="AD15" s="471"/>
      <c r="AE15" s="840"/>
      <c r="AF15" s="474"/>
      <c r="AG15" s="30"/>
      <c r="AH15" s="474">
        <v>1056</v>
      </c>
      <c r="AI15" s="30">
        <v>1101</v>
      </c>
      <c r="AJ15" s="167">
        <v>22</v>
      </c>
      <c r="AK15" s="165">
        <v>128</v>
      </c>
      <c r="AL15" s="475"/>
      <c r="AM15" s="462"/>
      <c r="AN15" s="852"/>
      <c r="AO15" s="853"/>
      <c r="AP15" s="860"/>
      <c r="AQ15" s="859"/>
      <c r="AR15" s="476"/>
      <c r="AS15" s="36"/>
      <c r="AT15" s="474">
        <v>8697</v>
      </c>
      <c r="AU15" s="29">
        <v>23825</v>
      </c>
      <c r="AV15" s="252">
        <f t="shared" si="0"/>
        <v>34595</v>
      </c>
      <c r="AW15" s="252">
        <f t="shared" si="1"/>
        <v>88610</v>
      </c>
      <c r="AX15" s="477"/>
      <c r="AY15" s="790"/>
      <c r="AZ15" s="795">
        <f t="shared" si="2"/>
        <v>34595</v>
      </c>
      <c r="BA15" s="478">
        <f t="shared" si="3"/>
        <v>88610</v>
      </c>
    </row>
    <row r="16" spans="1:53" s="296" customFormat="1" ht="15" thickBot="1">
      <c r="A16" s="518" t="s">
        <v>20</v>
      </c>
      <c r="B16" s="479">
        <f>SUM(B5:B15)</f>
        <v>70805</v>
      </c>
      <c r="C16" s="479">
        <f aca="true" t="shared" si="4" ref="C16:AH16">SUM(C5:C15)</f>
        <v>116865</v>
      </c>
      <c r="D16" s="479">
        <f t="shared" si="4"/>
        <v>18823</v>
      </c>
      <c r="E16" s="484">
        <f t="shared" si="4"/>
        <v>32274</v>
      </c>
      <c r="F16" s="483">
        <f t="shared" si="4"/>
        <v>5579</v>
      </c>
      <c r="G16" s="479">
        <f t="shared" si="4"/>
        <v>14013</v>
      </c>
      <c r="H16" s="479">
        <f t="shared" si="4"/>
        <v>82264</v>
      </c>
      <c r="I16" s="484">
        <f t="shared" si="4"/>
        <v>212204</v>
      </c>
      <c r="J16" s="483">
        <f t="shared" si="4"/>
        <v>47855</v>
      </c>
      <c r="K16" s="479">
        <f t="shared" si="4"/>
        <v>165622</v>
      </c>
      <c r="L16" s="479">
        <f t="shared" si="4"/>
        <v>44781</v>
      </c>
      <c r="M16" s="484">
        <f t="shared" si="4"/>
        <v>111509</v>
      </c>
      <c r="N16" s="483">
        <f t="shared" si="4"/>
        <v>10135</v>
      </c>
      <c r="O16" s="479">
        <f t="shared" si="4"/>
        <v>30016</v>
      </c>
      <c r="P16" s="479">
        <f t="shared" si="4"/>
        <v>19957</v>
      </c>
      <c r="Q16" s="480">
        <f t="shared" si="4"/>
        <v>54883</v>
      </c>
      <c r="R16" s="479">
        <f t="shared" si="4"/>
        <v>46513</v>
      </c>
      <c r="S16" s="484">
        <f t="shared" si="4"/>
        <v>133058</v>
      </c>
      <c r="T16" s="483">
        <f t="shared" si="4"/>
        <v>16943</v>
      </c>
      <c r="U16" s="480">
        <f t="shared" si="4"/>
        <v>46511</v>
      </c>
      <c r="V16" s="479">
        <f t="shared" si="4"/>
        <v>219101</v>
      </c>
      <c r="W16" s="484">
        <f t="shared" si="4"/>
        <v>639460</v>
      </c>
      <c r="X16" s="483">
        <f t="shared" si="4"/>
        <v>198345</v>
      </c>
      <c r="Y16" s="479">
        <f t="shared" si="4"/>
        <v>555280</v>
      </c>
      <c r="Z16" s="479">
        <f t="shared" si="4"/>
        <v>10542</v>
      </c>
      <c r="AA16" s="480">
        <f t="shared" si="4"/>
        <v>36607</v>
      </c>
      <c r="AB16" s="479">
        <f t="shared" si="4"/>
        <v>47492</v>
      </c>
      <c r="AC16" s="484">
        <f t="shared" si="4"/>
        <v>135406</v>
      </c>
      <c r="AD16" s="483">
        <f t="shared" si="4"/>
        <v>87491</v>
      </c>
      <c r="AE16" s="480">
        <f t="shared" si="4"/>
        <v>217983</v>
      </c>
      <c r="AF16" s="479">
        <f t="shared" si="4"/>
        <v>147338</v>
      </c>
      <c r="AG16" s="484">
        <f t="shared" si="4"/>
        <v>411556</v>
      </c>
      <c r="AH16" s="479">
        <f t="shared" si="4"/>
        <v>50310</v>
      </c>
      <c r="AI16" s="484">
        <f aca="true" t="shared" si="5" ref="AI16:AU16">SUM(AI5:AI15)</f>
        <v>139381</v>
      </c>
      <c r="AJ16" s="483">
        <f t="shared" si="5"/>
        <v>47817</v>
      </c>
      <c r="AK16" s="479">
        <f t="shared" si="5"/>
        <v>150634</v>
      </c>
      <c r="AL16" s="479">
        <f t="shared" si="5"/>
        <v>0</v>
      </c>
      <c r="AM16" s="541">
        <f t="shared" si="5"/>
        <v>0</v>
      </c>
      <c r="AN16" s="855">
        <f t="shared" si="5"/>
        <v>453779</v>
      </c>
      <c r="AO16" s="856">
        <f t="shared" si="5"/>
        <v>1153499</v>
      </c>
      <c r="AP16" s="479">
        <f t="shared" si="5"/>
        <v>69495</v>
      </c>
      <c r="AQ16" s="484">
        <f t="shared" si="5"/>
        <v>185324</v>
      </c>
      <c r="AR16" s="483">
        <f t="shared" si="5"/>
        <v>22443</v>
      </c>
      <c r="AS16" s="479">
        <f t="shared" si="5"/>
        <v>57513</v>
      </c>
      <c r="AT16" s="479">
        <f t="shared" si="5"/>
        <v>133092</v>
      </c>
      <c r="AU16" s="479">
        <f t="shared" si="5"/>
        <v>323978</v>
      </c>
      <c r="AV16" s="485">
        <f t="shared" si="0"/>
        <v>1850900</v>
      </c>
      <c r="AW16" s="486">
        <f t="shared" si="1"/>
        <v>4923576</v>
      </c>
      <c r="AX16" s="1140">
        <f>SUM(AX5:AX15)</f>
        <v>7039116</v>
      </c>
      <c r="AY16" s="1141">
        <f>SUM(AY5:AY15)</f>
        <v>15542540</v>
      </c>
      <c r="AZ16" s="485">
        <f t="shared" si="2"/>
        <v>8890016</v>
      </c>
      <c r="BA16" s="489">
        <f t="shared" si="3"/>
        <v>20466116</v>
      </c>
    </row>
    <row r="17" spans="1:53" s="539" customFormat="1" ht="15" thickBot="1">
      <c r="A17" s="520" t="s">
        <v>11</v>
      </c>
      <c r="B17" s="521"/>
      <c r="C17" s="522"/>
      <c r="D17" s="526"/>
      <c r="E17" s="525"/>
      <c r="F17" s="523"/>
      <c r="G17" s="524"/>
      <c r="H17" s="526"/>
      <c r="I17" s="525"/>
      <c r="J17" s="523"/>
      <c r="K17" s="524"/>
      <c r="L17" s="526"/>
      <c r="M17" s="525"/>
      <c r="N17" s="523"/>
      <c r="O17" s="523">
        <v>348</v>
      </c>
      <c r="P17" s="530"/>
      <c r="Q17" s="842"/>
      <c r="R17" s="530">
        <v>2339</v>
      </c>
      <c r="S17" s="538">
        <v>6539</v>
      </c>
      <c r="T17" s="527"/>
      <c r="U17" s="842"/>
      <c r="V17" s="530"/>
      <c r="W17" s="529"/>
      <c r="X17" s="527"/>
      <c r="Y17" s="528"/>
      <c r="Z17" s="530"/>
      <c r="AA17" s="842"/>
      <c r="AB17" s="526"/>
      <c r="AC17" s="525"/>
      <c r="AD17" s="523">
        <v>77</v>
      </c>
      <c r="AE17" s="844">
        <v>193</v>
      </c>
      <c r="AF17" s="526"/>
      <c r="AG17" s="525"/>
      <c r="AH17" s="526"/>
      <c r="AI17" s="845">
        <v>-1</v>
      </c>
      <c r="AJ17" s="523"/>
      <c r="AK17" s="524"/>
      <c r="AL17" s="531"/>
      <c r="AM17" s="854"/>
      <c r="AN17" s="857"/>
      <c r="AO17" s="532"/>
      <c r="AP17" s="861"/>
      <c r="AQ17" s="533"/>
      <c r="AR17" s="534"/>
      <c r="AS17" s="535"/>
      <c r="AT17" s="526"/>
      <c r="AU17" s="524"/>
      <c r="AV17" s="530">
        <f t="shared" si="0"/>
        <v>2416</v>
      </c>
      <c r="AW17" s="530">
        <f t="shared" si="1"/>
        <v>7079</v>
      </c>
      <c r="AX17" s="537"/>
      <c r="AY17" s="536"/>
      <c r="AZ17" s="530">
        <f t="shared" si="2"/>
        <v>2416</v>
      </c>
      <c r="BA17" s="538">
        <f t="shared" si="3"/>
        <v>7079</v>
      </c>
    </row>
    <row r="18" spans="1:53" s="296" customFormat="1" ht="15" thickBot="1">
      <c r="A18" s="518" t="s">
        <v>12</v>
      </c>
      <c r="B18" s="479">
        <f>B16+B17</f>
        <v>70805</v>
      </c>
      <c r="C18" s="479">
        <f aca="true" t="shared" si="6" ref="C18:AH18">C16+C17</f>
        <v>116865</v>
      </c>
      <c r="D18" s="479">
        <f t="shared" si="6"/>
        <v>18823</v>
      </c>
      <c r="E18" s="484">
        <f t="shared" si="6"/>
        <v>32274</v>
      </c>
      <c r="F18" s="483">
        <f t="shared" si="6"/>
        <v>5579</v>
      </c>
      <c r="G18" s="479">
        <f t="shared" si="6"/>
        <v>14013</v>
      </c>
      <c r="H18" s="479">
        <f t="shared" si="6"/>
        <v>82264</v>
      </c>
      <c r="I18" s="484">
        <f t="shared" si="6"/>
        <v>212204</v>
      </c>
      <c r="J18" s="483">
        <f t="shared" si="6"/>
        <v>47855</v>
      </c>
      <c r="K18" s="479">
        <f t="shared" si="6"/>
        <v>165622</v>
      </c>
      <c r="L18" s="479">
        <f t="shared" si="6"/>
        <v>44781</v>
      </c>
      <c r="M18" s="484">
        <f t="shared" si="6"/>
        <v>111509</v>
      </c>
      <c r="N18" s="483">
        <f t="shared" si="6"/>
        <v>10135</v>
      </c>
      <c r="O18" s="479">
        <f t="shared" si="6"/>
        <v>30364</v>
      </c>
      <c r="P18" s="479">
        <f t="shared" si="6"/>
        <v>19957</v>
      </c>
      <c r="Q18" s="480">
        <f t="shared" si="6"/>
        <v>54883</v>
      </c>
      <c r="R18" s="479">
        <f t="shared" si="6"/>
        <v>48852</v>
      </c>
      <c r="S18" s="484">
        <f t="shared" si="6"/>
        <v>139597</v>
      </c>
      <c r="T18" s="483">
        <f t="shared" si="6"/>
        <v>16943</v>
      </c>
      <c r="U18" s="480">
        <f t="shared" si="6"/>
        <v>46511</v>
      </c>
      <c r="V18" s="479">
        <f t="shared" si="6"/>
        <v>219101</v>
      </c>
      <c r="W18" s="484">
        <f t="shared" si="6"/>
        <v>639460</v>
      </c>
      <c r="X18" s="483">
        <f t="shared" si="6"/>
        <v>198345</v>
      </c>
      <c r="Y18" s="479">
        <f t="shared" si="6"/>
        <v>555280</v>
      </c>
      <c r="Z18" s="479">
        <f t="shared" si="6"/>
        <v>10542</v>
      </c>
      <c r="AA18" s="480">
        <f t="shared" si="6"/>
        <v>36607</v>
      </c>
      <c r="AB18" s="479">
        <f t="shared" si="6"/>
        <v>47492</v>
      </c>
      <c r="AC18" s="484">
        <f t="shared" si="6"/>
        <v>135406</v>
      </c>
      <c r="AD18" s="483">
        <f t="shared" si="6"/>
        <v>87568</v>
      </c>
      <c r="AE18" s="480">
        <f t="shared" si="6"/>
        <v>218176</v>
      </c>
      <c r="AF18" s="479">
        <f t="shared" si="6"/>
        <v>147338</v>
      </c>
      <c r="AG18" s="484">
        <f t="shared" si="6"/>
        <v>411556</v>
      </c>
      <c r="AH18" s="479">
        <f t="shared" si="6"/>
        <v>50310</v>
      </c>
      <c r="AI18" s="484">
        <f aca="true" t="shared" si="7" ref="AI18:AU18">AI16+AI17</f>
        <v>139380</v>
      </c>
      <c r="AJ18" s="483">
        <f t="shared" si="7"/>
        <v>47817</v>
      </c>
      <c r="AK18" s="479">
        <f t="shared" si="7"/>
        <v>150634</v>
      </c>
      <c r="AL18" s="479">
        <f t="shared" si="7"/>
        <v>0</v>
      </c>
      <c r="AM18" s="541">
        <f t="shared" si="7"/>
        <v>0</v>
      </c>
      <c r="AN18" s="479">
        <f t="shared" si="7"/>
        <v>453779</v>
      </c>
      <c r="AO18" s="482">
        <f t="shared" si="7"/>
        <v>1153499</v>
      </c>
      <c r="AP18" s="479">
        <f t="shared" si="7"/>
        <v>69495</v>
      </c>
      <c r="AQ18" s="484">
        <f t="shared" si="7"/>
        <v>185324</v>
      </c>
      <c r="AR18" s="483">
        <f t="shared" si="7"/>
        <v>22443</v>
      </c>
      <c r="AS18" s="479">
        <f t="shared" si="7"/>
        <v>57513</v>
      </c>
      <c r="AT18" s="479">
        <f t="shared" si="7"/>
        <v>133092</v>
      </c>
      <c r="AU18" s="479">
        <f t="shared" si="7"/>
        <v>323978</v>
      </c>
      <c r="AV18" s="485">
        <f t="shared" si="0"/>
        <v>1853316</v>
      </c>
      <c r="AW18" s="486">
        <f t="shared" si="1"/>
        <v>4930655</v>
      </c>
      <c r="AX18" s="485">
        <f>AX16+AX17</f>
        <v>7039116</v>
      </c>
      <c r="AY18" s="489">
        <f>AY16+AY17</f>
        <v>15542540</v>
      </c>
      <c r="AZ18" s="485">
        <f t="shared" si="2"/>
        <v>8892432</v>
      </c>
      <c r="BA18" s="489">
        <f t="shared" si="3"/>
        <v>20473195</v>
      </c>
    </row>
  </sheetData>
  <sheetProtection/>
  <mergeCells count="29"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J3:K3"/>
    <mergeCell ref="L3:M3"/>
    <mergeCell ref="N3:O3"/>
    <mergeCell ref="AB3:AC3"/>
    <mergeCell ref="AD3:AE3"/>
    <mergeCell ref="AF3:AG3"/>
    <mergeCell ref="V3:W3"/>
    <mergeCell ref="X3:Y3"/>
    <mergeCell ref="Z3:AA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4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9" sqref="F9"/>
    </sheetView>
  </sheetViews>
  <sheetFormatPr defaultColWidth="9.140625" defaultRowHeight="15"/>
  <cols>
    <col min="1" max="1" width="27.421875" style="21" bestFit="1" customWidth="1"/>
    <col min="2" max="2" width="11.7109375" style="21" bestFit="1" customWidth="1"/>
    <col min="3" max="3" width="12.8515625" style="21" bestFit="1" customWidth="1"/>
    <col min="4" max="4" width="11.7109375" style="21" bestFit="1" customWidth="1"/>
    <col min="5" max="5" width="12.8515625" style="21" bestFit="1" customWidth="1"/>
    <col min="6" max="6" width="11.7109375" style="21" bestFit="1" customWidth="1"/>
    <col min="7" max="7" width="12.8515625" style="21" bestFit="1" customWidth="1"/>
    <col min="8" max="8" width="11.7109375" style="21" bestFit="1" customWidth="1"/>
    <col min="9" max="9" width="12.8515625" style="21" bestFit="1" customWidth="1"/>
    <col min="10" max="10" width="11.7109375" style="21" bestFit="1" customWidth="1"/>
    <col min="11" max="11" width="12.8515625" style="21" bestFit="1" customWidth="1"/>
    <col min="12" max="12" width="11.7109375" style="21" bestFit="1" customWidth="1"/>
    <col min="13" max="13" width="12.8515625" style="21" bestFit="1" customWidth="1"/>
    <col min="14" max="14" width="11.7109375" style="21" bestFit="1" customWidth="1"/>
    <col min="15" max="15" width="12.8515625" style="21" bestFit="1" customWidth="1"/>
    <col min="16" max="16" width="11.7109375" style="21" bestFit="1" customWidth="1"/>
    <col min="17" max="17" width="12.8515625" style="21" bestFit="1" customWidth="1"/>
    <col min="18" max="18" width="11.7109375" style="21" bestFit="1" customWidth="1"/>
    <col min="19" max="19" width="12.8515625" style="21" bestFit="1" customWidth="1"/>
    <col min="20" max="20" width="11.7109375" style="21" bestFit="1" customWidth="1"/>
    <col min="21" max="21" width="12.8515625" style="21" bestFit="1" customWidth="1"/>
    <col min="22" max="22" width="11.7109375" style="21" bestFit="1" customWidth="1"/>
    <col min="23" max="23" width="12.8515625" style="21" bestFit="1" customWidth="1"/>
    <col min="24" max="24" width="11.7109375" style="21" bestFit="1" customWidth="1"/>
    <col min="25" max="25" width="12.8515625" style="21" bestFit="1" customWidth="1"/>
    <col min="26" max="26" width="11.7109375" style="21" bestFit="1" customWidth="1"/>
    <col min="27" max="27" width="12.8515625" style="21" bestFit="1" customWidth="1"/>
    <col min="28" max="28" width="11.7109375" style="21" bestFit="1" customWidth="1"/>
    <col min="29" max="29" width="12.8515625" style="21" bestFit="1" customWidth="1"/>
    <col min="30" max="30" width="11.7109375" style="21" bestFit="1" customWidth="1"/>
    <col min="31" max="31" width="12.8515625" style="21" bestFit="1" customWidth="1"/>
    <col min="32" max="32" width="11.7109375" style="21" bestFit="1" customWidth="1"/>
    <col min="33" max="33" width="12.8515625" style="21" bestFit="1" customWidth="1"/>
    <col min="34" max="34" width="11.7109375" style="21" bestFit="1" customWidth="1"/>
    <col min="35" max="35" width="12.8515625" style="21" bestFit="1" customWidth="1"/>
    <col min="36" max="36" width="11.7109375" style="21" bestFit="1" customWidth="1"/>
    <col min="37" max="37" width="12.8515625" style="21" bestFit="1" customWidth="1"/>
    <col min="38" max="38" width="11.7109375" style="21" bestFit="1" customWidth="1"/>
    <col min="39" max="39" width="12.8515625" style="21" bestFit="1" customWidth="1"/>
    <col min="40" max="40" width="11.7109375" style="174" bestFit="1" customWidth="1"/>
    <col min="41" max="41" width="12.8515625" style="174" bestFit="1" customWidth="1"/>
    <col min="42" max="42" width="11.7109375" style="21" bestFit="1" customWidth="1"/>
    <col min="43" max="43" width="12.8515625" style="21" bestFit="1" customWidth="1"/>
    <col min="44" max="44" width="11.7109375" style="21" bestFit="1" customWidth="1"/>
    <col min="45" max="45" width="12.8515625" style="21" bestFit="1" customWidth="1"/>
    <col min="46" max="46" width="11.7109375" style="21" bestFit="1" customWidth="1"/>
    <col min="47" max="47" width="12.8515625" style="21" bestFit="1" customWidth="1"/>
    <col min="48" max="48" width="11.7109375" style="21" bestFit="1" customWidth="1"/>
    <col min="49" max="49" width="12.8515625" style="21" bestFit="1" customWidth="1"/>
    <col min="50" max="50" width="11.7109375" style="21" bestFit="1" customWidth="1"/>
    <col min="51" max="51" width="12.8515625" style="21" bestFit="1" customWidth="1"/>
    <col min="52" max="52" width="11.7109375" style="21" bestFit="1" customWidth="1"/>
    <col min="53" max="53" width="12.8515625" style="21" bestFit="1" customWidth="1"/>
    <col min="54" max="16384" width="9.140625" style="21" customWidth="1"/>
  </cols>
  <sheetData>
    <row r="1" spans="1:52" ht="14.25">
      <c r="A1" s="1155" t="s">
        <v>111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1155"/>
      <c r="W1" s="1155"/>
      <c r="X1" s="1155"/>
      <c r="Y1" s="1155"/>
      <c r="Z1" s="1155"/>
      <c r="AA1" s="1155"/>
      <c r="AB1" s="1155"/>
      <c r="AC1" s="1155"/>
      <c r="AD1" s="1155"/>
      <c r="AE1" s="1155"/>
      <c r="AF1" s="1155"/>
      <c r="AG1" s="1155"/>
      <c r="AH1" s="1155"/>
      <c r="AI1" s="1155"/>
      <c r="AJ1" s="1155"/>
      <c r="AK1" s="1155"/>
      <c r="AL1" s="1155"/>
      <c r="AM1" s="1155"/>
      <c r="AN1" s="1155"/>
      <c r="AO1" s="1155"/>
      <c r="AP1" s="1155"/>
      <c r="AQ1" s="1155"/>
      <c r="AR1" s="1155"/>
      <c r="AS1" s="1155"/>
      <c r="AT1" s="1155"/>
      <c r="AU1" s="1155"/>
      <c r="AV1" s="1155"/>
      <c r="AW1" s="1155"/>
      <c r="AX1" s="1155"/>
      <c r="AY1" s="1155"/>
      <c r="AZ1" s="1155"/>
    </row>
    <row r="2" spans="1:52" ht="15" thickBot="1">
      <c r="A2" s="1156" t="s">
        <v>112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  <c r="R2" s="1156"/>
      <c r="S2" s="1156"/>
      <c r="T2" s="1156"/>
      <c r="U2" s="1156"/>
      <c r="V2" s="1156"/>
      <c r="W2" s="1156"/>
      <c r="X2" s="1156"/>
      <c r="Y2" s="1156"/>
      <c r="Z2" s="1156"/>
      <c r="AA2" s="1156"/>
      <c r="AB2" s="1156"/>
      <c r="AC2" s="1156"/>
      <c r="AD2" s="1156"/>
      <c r="AE2" s="1156"/>
      <c r="AF2" s="1156"/>
      <c r="AG2" s="1156"/>
      <c r="AH2" s="1156"/>
      <c r="AI2" s="1156"/>
      <c r="AJ2" s="1156"/>
      <c r="AK2" s="1156"/>
      <c r="AL2" s="1156"/>
      <c r="AM2" s="1156"/>
      <c r="AN2" s="1156"/>
      <c r="AO2" s="1156"/>
      <c r="AP2" s="1156"/>
      <c r="AQ2" s="1156"/>
      <c r="AR2" s="1156"/>
      <c r="AS2" s="1156"/>
      <c r="AT2" s="1156"/>
      <c r="AU2" s="1156"/>
      <c r="AV2" s="1156"/>
      <c r="AW2" s="1156"/>
      <c r="AX2" s="1156"/>
      <c r="AY2" s="1156"/>
      <c r="AZ2" s="1156"/>
    </row>
    <row r="3" spans="1:53" ht="41.25" customHeight="1" thickBot="1">
      <c r="A3" s="1157" t="s">
        <v>0</v>
      </c>
      <c r="B3" s="1159" t="s">
        <v>117</v>
      </c>
      <c r="C3" s="1160"/>
      <c r="D3" s="1149" t="s">
        <v>118</v>
      </c>
      <c r="E3" s="1150"/>
      <c r="F3" s="1149" t="s">
        <v>119</v>
      </c>
      <c r="G3" s="1150"/>
      <c r="H3" s="1165" t="s">
        <v>120</v>
      </c>
      <c r="I3" s="1166"/>
      <c r="J3" s="1149" t="s">
        <v>121</v>
      </c>
      <c r="K3" s="1150"/>
      <c r="L3" s="1149" t="s">
        <v>122</v>
      </c>
      <c r="M3" s="1150"/>
      <c r="N3" s="1149" t="s">
        <v>302</v>
      </c>
      <c r="O3" s="1150"/>
      <c r="P3" s="1149" t="s">
        <v>124</v>
      </c>
      <c r="Q3" s="1150"/>
      <c r="R3" s="1149" t="s">
        <v>125</v>
      </c>
      <c r="S3" s="1150"/>
      <c r="T3" s="1149" t="s">
        <v>126</v>
      </c>
      <c r="U3" s="1150"/>
      <c r="V3" s="1149" t="s">
        <v>127</v>
      </c>
      <c r="W3" s="1150"/>
      <c r="X3" s="1149" t="s">
        <v>128</v>
      </c>
      <c r="Y3" s="1150"/>
      <c r="Z3" s="1149" t="s">
        <v>129</v>
      </c>
      <c r="AA3" s="1150"/>
      <c r="AB3" s="1151" t="s">
        <v>130</v>
      </c>
      <c r="AC3" s="1152"/>
      <c r="AD3" s="1153" t="s">
        <v>131</v>
      </c>
      <c r="AE3" s="1154"/>
      <c r="AF3" s="1149" t="s">
        <v>132</v>
      </c>
      <c r="AG3" s="1150"/>
      <c r="AH3" s="1149" t="s">
        <v>133</v>
      </c>
      <c r="AI3" s="1150"/>
      <c r="AJ3" s="1149" t="s">
        <v>134</v>
      </c>
      <c r="AK3" s="1150"/>
      <c r="AL3" s="1153" t="s">
        <v>135</v>
      </c>
      <c r="AM3" s="1154"/>
      <c r="AN3" s="1167" t="s">
        <v>136</v>
      </c>
      <c r="AO3" s="1168"/>
      <c r="AP3" s="1149" t="s">
        <v>137</v>
      </c>
      <c r="AQ3" s="1150"/>
      <c r="AR3" s="1149" t="s">
        <v>138</v>
      </c>
      <c r="AS3" s="1150"/>
      <c r="AT3" s="1151" t="s">
        <v>139</v>
      </c>
      <c r="AU3" s="1152"/>
      <c r="AV3" s="1165" t="s">
        <v>1</v>
      </c>
      <c r="AW3" s="1169"/>
      <c r="AX3" s="1161" t="s">
        <v>140</v>
      </c>
      <c r="AY3" s="1162"/>
      <c r="AZ3" s="1163" t="s">
        <v>2</v>
      </c>
      <c r="BA3" s="1164"/>
    </row>
    <row r="4" spans="1:53" s="365" customFormat="1" ht="15" customHeight="1" thickBot="1">
      <c r="A4" s="1158"/>
      <c r="B4" s="373" t="s">
        <v>297</v>
      </c>
      <c r="C4" s="374" t="s">
        <v>298</v>
      </c>
      <c r="D4" s="373" t="s">
        <v>297</v>
      </c>
      <c r="E4" s="374" t="s">
        <v>298</v>
      </c>
      <c r="F4" s="373" t="s">
        <v>297</v>
      </c>
      <c r="G4" s="374" t="s">
        <v>298</v>
      </c>
      <c r="H4" s="373" t="s">
        <v>297</v>
      </c>
      <c r="I4" s="375" t="s">
        <v>298</v>
      </c>
      <c r="J4" s="373" t="s">
        <v>297</v>
      </c>
      <c r="K4" s="374" t="s">
        <v>298</v>
      </c>
      <c r="L4" s="373" t="s">
        <v>297</v>
      </c>
      <c r="M4" s="375" t="s">
        <v>298</v>
      </c>
      <c r="N4" s="589" t="s">
        <v>297</v>
      </c>
      <c r="O4" s="590" t="s">
        <v>298</v>
      </c>
      <c r="P4" s="589" t="s">
        <v>297</v>
      </c>
      <c r="Q4" s="590" t="s">
        <v>298</v>
      </c>
      <c r="R4" s="589" t="s">
        <v>297</v>
      </c>
      <c r="S4" s="373" t="s">
        <v>298</v>
      </c>
      <c r="T4" s="373" t="s">
        <v>297</v>
      </c>
      <c r="U4" s="374" t="s">
        <v>298</v>
      </c>
      <c r="V4" s="373" t="s">
        <v>297</v>
      </c>
      <c r="W4" s="374" t="s">
        <v>298</v>
      </c>
      <c r="X4" s="373" t="s">
        <v>297</v>
      </c>
      <c r="Y4" s="374" t="s">
        <v>298</v>
      </c>
      <c r="Z4" s="373" t="s">
        <v>297</v>
      </c>
      <c r="AA4" s="374" t="s">
        <v>298</v>
      </c>
      <c r="AB4" s="373" t="s">
        <v>297</v>
      </c>
      <c r="AC4" s="374" t="s">
        <v>298</v>
      </c>
      <c r="AD4" s="373" t="s">
        <v>297</v>
      </c>
      <c r="AE4" s="374" t="s">
        <v>298</v>
      </c>
      <c r="AF4" s="373" t="s">
        <v>297</v>
      </c>
      <c r="AG4" s="375" t="s">
        <v>298</v>
      </c>
      <c r="AH4" s="373" t="s">
        <v>297</v>
      </c>
      <c r="AI4" s="374" t="s">
        <v>298</v>
      </c>
      <c r="AJ4" s="373" t="s">
        <v>297</v>
      </c>
      <c r="AK4" s="374" t="s">
        <v>298</v>
      </c>
      <c r="AL4" s="373" t="s">
        <v>297</v>
      </c>
      <c r="AM4" s="374" t="s">
        <v>298</v>
      </c>
      <c r="AN4" s="373" t="s">
        <v>297</v>
      </c>
      <c r="AO4" s="374" t="s">
        <v>298</v>
      </c>
      <c r="AP4" s="373" t="s">
        <v>297</v>
      </c>
      <c r="AQ4" s="373" t="s">
        <v>298</v>
      </c>
      <c r="AR4" s="1124" t="s">
        <v>297</v>
      </c>
      <c r="AS4" s="374" t="s">
        <v>298</v>
      </c>
      <c r="AT4" s="373" t="s">
        <v>297</v>
      </c>
      <c r="AU4" s="374" t="s">
        <v>298</v>
      </c>
      <c r="AV4" s="373" t="s">
        <v>297</v>
      </c>
      <c r="AW4" s="374" t="s">
        <v>298</v>
      </c>
      <c r="AX4" s="373" t="s">
        <v>297</v>
      </c>
      <c r="AY4" s="374" t="s">
        <v>298</v>
      </c>
      <c r="AZ4" s="373" t="s">
        <v>297</v>
      </c>
      <c r="BA4" s="375" t="s">
        <v>298</v>
      </c>
    </row>
    <row r="5" spans="1:53" ht="28.5">
      <c r="A5" s="584" t="s">
        <v>76</v>
      </c>
      <c r="B5" s="371">
        <v>635045</v>
      </c>
      <c r="C5" s="517">
        <v>1831449</v>
      </c>
      <c r="D5" s="371"/>
      <c r="E5" s="517"/>
      <c r="F5" s="371"/>
      <c r="G5" s="517"/>
      <c r="H5" s="371">
        <v>100582</v>
      </c>
      <c r="I5" s="517">
        <v>378516</v>
      </c>
      <c r="J5" s="371">
        <v>-449958</v>
      </c>
      <c r="K5" s="517">
        <v>-1195957</v>
      </c>
      <c r="L5" s="371"/>
      <c r="M5" s="517"/>
      <c r="N5" s="371">
        <v>391026</v>
      </c>
      <c r="O5" s="517">
        <v>1330481</v>
      </c>
      <c r="P5" s="371"/>
      <c r="Q5" s="517"/>
      <c r="R5" s="371"/>
      <c r="S5" s="517"/>
      <c r="T5" s="371"/>
      <c r="U5" s="517"/>
      <c r="V5" s="31">
        <v>1690987</v>
      </c>
      <c r="W5" s="517">
        <v>7397295</v>
      </c>
      <c r="X5" s="371">
        <v>3625453</v>
      </c>
      <c r="Y5" s="724">
        <v>11279936</v>
      </c>
      <c r="Z5" s="371"/>
      <c r="AA5" s="517"/>
      <c r="AB5" s="371">
        <v>287378</v>
      </c>
      <c r="AC5" s="517">
        <v>358200</v>
      </c>
      <c r="AD5" s="371"/>
      <c r="AE5" s="517"/>
      <c r="AF5" s="371">
        <v>1236275</v>
      </c>
      <c r="AG5" s="517">
        <v>2417803</v>
      </c>
      <c r="AH5" s="371">
        <v>56527</v>
      </c>
      <c r="AI5" s="517">
        <v>309314</v>
      </c>
      <c r="AJ5" s="371"/>
      <c r="AK5" s="517"/>
      <c r="AL5" s="371"/>
      <c r="AM5" s="517"/>
      <c r="AN5" s="370">
        <v>2707403</v>
      </c>
      <c r="AO5" s="700">
        <v>5417342</v>
      </c>
      <c r="AP5" s="371"/>
      <c r="AQ5" s="517"/>
      <c r="AR5" s="371">
        <v>194485</v>
      </c>
      <c r="AS5" s="517">
        <v>602418</v>
      </c>
      <c r="AT5" s="371">
        <v>-19428</v>
      </c>
      <c r="AU5" s="517">
        <v>146974</v>
      </c>
      <c r="AV5" s="371">
        <f aca="true" t="shared" si="0" ref="AV5:AV25">SUM(B5+D5+F5+H5+J5+L5+N5+P5+R5+T5+V5+X5+Z5+AB5+AD5+AF5+AH5+AJ5+AL5+AN5+AP5+AR5+AT5)</f>
        <v>10455775</v>
      </c>
      <c r="AW5" s="371">
        <f aca="true" t="shared" si="1" ref="AW5:AW25">SUM(C5+E5+G5+I5+K5+M5+O5+Q5+S5+U5+W5+Y5+AA5+AC5+AE5+AG5+AI5+AK5+AM5+AO5+AQ5+AS5+AU5)</f>
        <v>30273771</v>
      </c>
      <c r="AX5" s="371"/>
      <c r="AY5" s="368"/>
      <c r="AZ5" s="371">
        <f aca="true" t="shared" si="2" ref="AZ5:AZ25">AV5+AX5</f>
        <v>10455775</v>
      </c>
      <c r="BA5" s="372">
        <f aca="true" t="shared" si="3" ref="BA5:BA25">AW5+AY5</f>
        <v>30273771</v>
      </c>
    </row>
    <row r="6" spans="1:53" ht="14.25">
      <c r="A6" s="585" t="s">
        <v>77</v>
      </c>
      <c r="B6" s="39"/>
      <c r="C6" s="734"/>
      <c r="D6" s="11"/>
      <c r="E6" s="686"/>
      <c r="F6" s="11"/>
      <c r="G6" s="686"/>
      <c r="H6" s="11"/>
      <c r="I6" s="517"/>
      <c r="J6" s="11"/>
      <c r="K6" s="517"/>
      <c r="L6" s="11"/>
      <c r="M6" s="686"/>
      <c r="N6" s="11"/>
      <c r="O6" s="517"/>
      <c r="P6" s="11"/>
      <c r="Q6" s="517"/>
      <c r="R6" s="11"/>
      <c r="S6" s="686"/>
      <c r="T6" s="11"/>
      <c r="U6" s="686"/>
      <c r="V6" s="11"/>
      <c r="W6" s="517"/>
      <c r="X6" s="11"/>
      <c r="Y6" s="724"/>
      <c r="Z6" s="243"/>
      <c r="AA6" s="720"/>
      <c r="AB6" s="11"/>
      <c r="AC6" s="517"/>
      <c r="AD6" s="11"/>
      <c r="AE6" s="686"/>
      <c r="AF6" s="11"/>
      <c r="AG6" s="517"/>
      <c r="AH6" s="11"/>
      <c r="AI6" s="517"/>
      <c r="AJ6" s="11"/>
      <c r="AK6" s="686"/>
      <c r="AL6" s="711"/>
      <c r="AM6" s="517"/>
      <c r="AN6" s="226"/>
      <c r="AO6" s="700"/>
      <c r="AP6" s="703"/>
      <c r="AQ6" s="294"/>
      <c r="AR6" s="170"/>
      <c r="AS6" s="517"/>
      <c r="AT6" s="11"/>
      <c r="AU6" s="686"/>
      <c r="AV6" s="8">
        <f t="shared" si="0"/>
        <v>0</v>
      </c>
      <c r="AW6" s="8">
        <f t="shared" si="1"/>
        <v>0</v>
      </c>
      <c r="AX6" s="170"/>
      <c r="AY6" s="16"/>
      <c r="AZ6" s="8">
        <f t="shared" si="2"/>
        <v>0</v>
      </c>
      <c r="BA6" s="685">
        <f t="shared" si="3"/>
        <v>0</v>
      </c>
    </row>
    <row r="7" spans="1:53" ht="28.5">
      <c r="A7" s="585" t="s">
        <v>78</v>
      </c>
      <c r="B7" s="39">
        <v>448549</v>
      </c>
      <c r="C7" s="734">
        <v>1313026</v>
      </c>
      <c r="D7" s="11">
        <v>12707</v>
      </c>
      <c r="E7" s="686">
        <v>34694</v>
      </c>
      <c r="F7" s="11">
        <v>125756</v>
      </c>
      <c r="G7" s="686">
        <v>376896</v>
      </c>
      <c r="H7" s="11">
        <v>1382519</v>
      </c>
      <c r="I7" s="517">
        <v>4522025</v>
      </c>
      <c r="J7" s="11">
        <v>64181</v>
      </c>
      <c r="K7" s="517">
        <v>189405</v>
      </c>
      <c r="L7" s="11">
        <v>214620</v>
      </c>
      <c r="M7" s="686">
        <v>630538</v>
      </c>
      <c r="N7" s="11">
        <v>71898</v>
      </c>
      <c r="O7" s="517">
        <v>302960</v>
      </c>
      <c r="P7" s="11">
        <v>129841</v>
      </c>
      <c r="Q7" s="517">
        <v>396478</v>
      </c>
      <c r="R7" s="11">
        <v>183213</v>
      </c>
      <c r="S7" s="686">
        <v>551351</v>
      </c>
      <c r="T7" s="11">
        <v>44295</v>
      </c>
      <c r="U7" s="686">
        <v>141941</v>
      </c>
      <c r="V7" s="11">
        <v>968299</v>
      </c>
      <c r="W7" s="517">
        <v>2743952</v>
      </c>
      <c r="X7" s="11">
        <v>1072996</v>
      </c>
      <c r="Y7" s="724">
        <v>3290189</v>
      </c>
      <c r="Z7" s="40">
        <v>103523</v>
      </c>
      <c r="AA7" s="720">
        <v>309558</v>
      </c>
      <c r="AB7" s="11">
        <v>125700</v>
      </c>
      <c r="AC7" s="517">
        <v>337003</v>
      </c>
      <c r="AD7" s="11">
        <v>528383</v>
      </c>
      <c r="AE7" s="686">
        <v>1526927</v>
      </c>
      <c r="AF7" s="11">
        <v>418753</v>
      </c>
      <c r="AG7" s="517">
        <v>1212398</v>
      </c>
      <c r="AH7" s="11">
        <v>243888</v>
      </c>
      <c r="AI7" s="517">
        <v>705908</v>
      </c>
      <c r="AJ7" s="11">
        <v>201172</v>
      </c>
      <c r="AK7" s="686">
        <v>649951</v>
      </c>
      <c r="AL7" s="711"/>
      <c r="AM7" s="517"/>
      <c r="AN7" s="227">
        <v>1159920</v>
      </c>
      <c r="AO7" s="700">
        <v>3472652</v>
      </c>
      <c r="AP7" s="703">
        <v>54429</v>
      </c>
      <c r="AQ7" s="294">
        <v>160000</v>
      </c>
      <c r="AR7" s="170">
        <v>95320</v>
      </c>
      <c r="AS7" s="517">
        <v>262653</v>
      </c>
      <c r="AT7" s="11">
        <v>380463</v>
      </c>
      <c r="AU7" s="686">
        <v>1110210</v>
      </c>
      <c r="AV7" s="8">
        <f t="shared" si="0"/>
        <v>8030425</v>
      </c>
      <c r="AW7" s="8">
        <f t="shared" si="1"/>
        <v>24240715</v>
      </c>
      <c r="AX7" s="170">
        <v>211202</v>
      </c>
      <c r="AY7" s="16">
        <v>309649</v>
      </c>
      <c r="AZ7" s="8">
        <f t="shared" si="2"/>
        <v>8241627</v>
      </c>
      <c r="BA7" s="685">
        <f t="shared" si="3"/>
        <v>24550364</v>
      </c>
    </row>
    <row r="8" spans="1:53" ht="28.5">
      <c r="A8" s="585" t="s">
        <v>79</v>
      </c>
      <c r="B8" s="39">
        <v>932</v>
      </c>
      <c r="C8" s="734">
        <v>10756</v>
      </c>
      <c r="D8" s="11"/>
      <c r="E8" s="686"/>
      <c r="F8" s="11">
        <v>5156</v>
      </c>
      <c r="G8" s="686">
        <v>6568</v>
      </c>
      <c r="H8" s="11">
        <v>353438</v>
      </c>
      <c r="I8" s="517">
        <v>2054975</v>
      </c>
      <c r="J8" s="11">
        <v>18973</v>
      </c>
      <c r="K8" s="517">
        <v>57068</v>
      </c>
      <c r="L8" s="11">
        <v>3374</v>
      </c>
      <c r="M8" s="686">
        <v>157396</v>
      </c>
      <c r="N8" s="11">
        <v>9258</v>
      </c>
      <c r="O8" s="517">
        <v>52884</v>
      </c>
      <c r="P8" s="11">
        <v>80143</v>
      </c>
      <c r="Q8" s="517">
        <v>191729</v>
      </c>
      <c r="R8" s="11">
        <v>24659</v>
      </c>
      <c r="S8" s="686">
        <v>212045</v>
      </c>
      <c r="T8" s="11">
        <v>3581</v>
      </c>
      <c r="U8" s="686">
        <v>18718</v>
      </c>
      <c r="V8" s="11">
        <v>220800</v>
      </c>
      <c r="W8" s="517">
        <v>896960</v>
      </c>
      <c r="X8" s="11">
        <v>992915</v>
      </c>
      <c r="Y8" s="724">
        <v>2534462</v>
      </c>
      <c r="Z8" s="40">
        <v>9341</v>
      </c>
      <c r="AA8" s="720">
        <v>36343</v>
      </c>
      <c r="AB8" s="11">
        <v>26</v>
      </c>
      <c r="AC8" s="517">
        <v>8972</v>
      </c>
      <c r="AD8" s="11">
        <v>12609</v>
      </c>
      <c r="AE8" s="686">
        <v>24663</v>
      </c>
      <c r="AF8" s="11">
        <v>119361</v>
      </c>
      <c r="AG8" s="517">
        <v>332960</v>
      </c>
      <c r="AH8" s="11">
        <v>7438</v>
      </c>
      <c r="AI8" s="517">
        <v>22175</v>
      </c>
      <c r="AJ8" s="11">
        <v>33079</v>
      </c>
      <c r="AK8" s="686">
        <v>515740</v>
      </c>
      <c r="AL8" s="711"/>
      <c r="AM8" s="517"/>
      <c r="AN8" s="227">
        <v>587215</v>
      </c>
      <c r="AO8" s="700">
        <v>1559679</v>
      </c>
      <c r="AP8" s="703">
        <v>268084</v>
      </c>
      <c r="AQ8" s="294">
        <v>310130</v>
      </c>
      <c r="AR8" s="170">
        <v>56938</v>
      </c>
      <c r="AS8" s="517">
        <v>141007</v>
      </c>
      <c r="AT8" s="11">
        <v>901</v>
      </c>
      <c r="AU8" s="686">
        <v>59412</v>
      </c>
      <c r="AV8" s="8">
        <f t="shared" si="0"/>
        <v>2808221</v>
      </c>
      <c r="AW8" s="8">
        <f t="shared" si="1"/>
        <v>9204642</v>
      </c>
      <c r="AX8" s="170">
        <v>2255</v>
      </c>
      <c r="AY8" s="16">
        <v>16546</v>
      </c>
      <c r="AZ8" s="8">
        <f t="shared" si="2"/>
        <v>2810476</v>
      </c>
      <c r="BA8" s="685">
        <f t="shared" si="3"/>
        <v>9221188</v>
      </c>
    </row>
    <row r="9" spans="1:53" ht="28.5">
      <c r="A9" s="585" t="s">
        <v>80</v>
      </c>
      <c r="B9" s="39"/>
      <c r="C9" s="734"/>
      <c r="D9" s="11"/>
      <c r="E9" s="686"/>
      <c r="F9" s="11"/>
      <c r="G9" s="686">
        <v>-772</v>
      </c>
      <c r="H9" s="11">
        <v>-91434</v>
      </c>
      <c r="I9" s="517">
        <v>-438837</v>
      </c>
      <c r="J9" s="11">
        <v>-2460</v>
      </c>
      <c r="K9" s="517">
        <v>-15717</v>
      </c>
      <c r="L9" s="11"/>
      <c r="M9" s="686"/>
      <c r="N9" s="11"/>
      <c r="O9" s="517">
        <v>-6101</v>
      </c>
      <c r="P9" s="11">
        <v>-5036</v>
      </c>
      <c r="Q9" s="517">
        <v>-44441</v>
      </c>
      <c r="R9" s="11"/>
      <c r="S9" s="686"/>
      <c r="T9" s="11">
        <v>-1699</v>
      </c>
      <c r="U9" s="686">
        <v>-11384</v>
      </c>
      <c r="V9" s="11">
        <v>-22141</v>
      </c>
      <c r="W9" s="517">
        <v>-38847</v>
      </c>
      <c r="X9" s="11">
        <v>-203325</v>
      </c>
      <c r="Y9" s="724">
        <v>-466239</v>
      </c>
      <c r="Z9" s="40"/>
      <c r="AA9" s="720">
        <v>-31074</v>
      </c>
      <c r="AB9" s="11"/>
      <c r="AC9" s="517"/>
      <c r="AD9" s="11"/>
      <c r="AE9" s="686"/>
      <c r="AF9" s="11">
        <v>-1084</v>
      </c>
      <c r="AG9" s="517">
        <v>-36909</v>
      </c>
      <c r="AH9" s="11"/>
      <c r="AI9" s="517"/>
      <c r="AJ9" s="11">
        <v>-56810</v>
      </c>
      <c r="AK9" s="686">
        <v>-151395</v>
      </c>
      <c r="AL9" s="711"/>
      <c r="AM9" s="517"/>
      <c r="AN9" s="227">
        <v>-14584</v>
      </c>
      <c r="AO9" s="700">
        <v>-180674</v>
      </c>
      <c r="AP9" s="703">
        <v>-217981</v>
      </c>
      <c r="AQ9" s="294">
        <v>-312314</v>
      </c>
      <c r="AR9" s="170">
        <v>-4486</v>
      </c>
      <c r="AS9" s="517">
        <v>-10521</v>
      </c>
      <c r="AT9" s="11"/>
      <c r="AU9" s="686">
        <v>-44034</v>
      </c>
      <c r="AV9" s="8">
        <f t="shared" si="0"/>
        <v>-621040</v>
      </c>
      <c r="AW9" s="8">
        <f t="shared" si="1"/>
        <v>-1789259</v>
      </c>
      <c r="AX9" s="170">
        <v>-1453</v>
      </c>
      <c r="AY9" s="16">
        <v>-3949</v>
      </c>
      <c r="AZ9" s="8">
        <f t="shared" si="2"/>
        <v>-622493</v>
      </c>
      <c r="BA9" s="685">
        <f t="shared" si="3"/>
        <v>-1793208</v>
      </c>
    </row>
    <row r="10" spans="1:53" ht="42.75">
      <c r="A10" s="585" t="s">
        <v>81</v>
      </c>
      <c r="B10" s="8"/>
      <c r="C10" s="734"/>
      <c r="D10" s="18">
        <v>5398</v>
      </c>
      <c r="E10" s="686">
        <v>30043</v>
      </c>
      <c r="F10" s="18"/>
      <c r="G10" s="686"/>
      <c r="H10" s="18">
        <v>-31721</v>
      </c>
      <c r="I10" s="517">
        <v>-12853</v>
      </c>
      <c r="J10" s="18"/>
      <c r="K10" s="517"/>
      <c r="L10" s="18"/>
      <c r="M10" s="686"/>
      <c r="N10" s="18">
        <v>-4569</v>
      </c>
      <c r="O10" s="517">
        <v>-13770</v>
      </c>
      <c r="P10" s="18"/>
      <c r="Q10" s="517"/>
      <c r="R10" s="18"/>
      <c r="S10" s="686"/>
      <c r="T10" s="18"/>
      <c r="U10" s="686"/>
      <c r="V10" s="18">
        <v>-36690</v>
      </c>
      <c r="W10" s="517">
        <v>-84143</v>
      </c>
      <c r="X10" s="18">
        <v>-857</v>
      </c>
      <c r="Y10" s="724">
        <v>2260</v>
      </c>
      <c r="Z10" s="40">
        <v>13566</v>
      </c>
      <c r="AA10" s="720">
        <v>45847</v>
      </c>
      <c r="AB10" s="18">
        <v>1471</v>
      </c>
      <c r="AC10" s="517">
        <v>12326</v>
      </c>
      <c r="AD10" s="717"/>
      <c r="AE10" s="686"/>
      <c r="AF10" s="18">
        <v>14240</v>
      </c>
      <c r="AG10" s="517">
        <v>64517</v>
      </c>
      <c r="AH10" s="18">
        <v>-5974</v>
      </c>
      <c r="AI10" s="517">
        <v>-9644</v>
      </c>
      <c r="AJ10" s="18">
        <v>1945</v>
      </c>
      <c r="AK10" s="686">
        <v>7637</v>
      </c>
      <c r="AL10" s="711"/>
      <c r="AM10" s="517"/>
      <c r="AN10" s="227">
        <v>7811</v>
      </c>
      <c r="AO10" s="700">
        <v>30137</v>
      </c>
      <c r="AP10" s="703">
        <v>363</v>
      </c>
      <c r="AQ10" s="294">
        <v>-1525</v>
      </c>
      <c r="AR10" s="170"/>
      <c r="AS10" s="517"/>
      <c r="AT10" s="18"/>
      <c r="AU10" s="686"/>
      <c r="AV10" s="8">
        <f t="shared" si="0"/>
        <v>-35017</v>
      </c>
      <c r="AW10" s="8">
        <f t="shared" si="1"/>
        <v>70832</v>
      </c>
      <c r="AX10" s="18"/>
      <c r="AY10" s="16"/>
      <c r="AZ10" s="8">
        <f t="shared" si="2"/>
        <v>-35017</v>
      </c>
      <c r="BA10" s="685">
        <f t="shared" si="3"/>
        <v>70832</v>
      </c>
    </row>
    <row r="11" spans="1:53" ht="28.5">
      <c r="A11" s="585" t="s">
        <v>246</v>
      </c>
      <c r="B11" s="8"/>
      <c r="C11" s="734"/>
      <c r="D11" s="18"/>
      <c r="E11" s="686"/>
      <c r="F11" s="18"/>
      <c r="G11" s="686"/>
      <c r="H11" s="18"/>
      <c r="I11" s="517"/>
      <c r="J11" s="18"/>
      <c r="K11" s="517"/>
      <c r="L11" s="18"/>
      <c r="M11" s="686"/>
      <c r="N11" s="18"/>
      <c r="O11" s="517"/>
      <c r="P11" s="18"/>
      <c r="Q11" s="517"/>
      <c r="R11" s="18"/>
      <c r="S11" s="686"/>
      <c r="T11" s="18"/>
      <c r="U11" s="686"/>
      <c r="V11" s="18"/>
      <c r="W11" s="517"/>
      <c r="X11" s="18"/>
      <c r="Y11" s="724"/>
      <c r="Z11" s="40"/>
      <c r="AA11" s="720"/>
      <c r="AB11" s="18"/>
      <c r="AC11" s="517"/>
      <c r="AD11" s="717"/>
      <c r="AE11" s="686"/>
      <c r="AF11" s="18">
        <v>-21413</v>
      </c>
      <c r="AG11" s="517">
        <v>-100912</v>
      </c>
      <c r="AH11" s="18"/>
      <c r="AI11" s="517"/>
      <c r="AJ11" s="18"/>
      <c r="AK11" s="686"/>
      <c r="AL11" s="711"/>
      <c r="AM11" s="517"/>
      <c r="AN11" s="227"/>
      <c r="AO11" s="700"/>
      <c r="AP11" s="703"/>
      <c r="AQ11" s="294"/>
      <c r="AR11" s="170"/>
      <c r="AS11" s="517"/>
      <c r="AT11" s="18"/>
      <c r="AU11" s="686"/>
      <c r="AV11" s="8"/>
      <c r="AW11" s="8"/>
      <c r="AX11" s="18"/>
      <c r="AY11" s="16"/>
      <c r="AZ11" s="8"/>
      <c r="BA11" s="736"/>
    </row>
    <row r="12" spans="1:53" ht="14.25">
      <c r="A12" s="585" t="s">
        <v>82</v>
      </c>
      <c r="B12" s="39"/>
      <c r="C12" s="734"/>
      <c r="D12" s="11"/>
      <c r="E12" s="686"/>
      <c r="F12" s="11"/>
      <c r="G12" s="686"/>
      <c r="H12" s="11"/>
      <c r="I12" s="517">
        <v>9112</v>
      </c>
      <c r="J12" s="11"/>
      <c r="K12" s="517"/>
      <c r="L12" s="11">
        <v>104</v>
      </c>
      <c r="M12" s="686">
        <v>222</v>
      </c>
      <c r="N12" s="11"/>
      <c r="O12" s="517"/>
      <c r="P12" s="11"/>
      <c r="Q12" s="517">
        <v>235</v>
      </c>
      <c r="R12" s="11"/>
      <c r="S12" s="686"/>
      <c r="T12" s="11"/>
      <c r="U12" s="686"/>
      <c r="V12" s="11"/>
      <c r="W12" s="517"/>
      <c r="X12" s="11">
        <v>2440</v>
      </c>
      <c r="Y12" s="724">
        <v>7282</v>
      </c>
      <c r="Z12" s="11">
        <f>17+1577</f>
        <v>1594</v>
      </c>
      <c r="AA12" s="720">
        <f>49+3739</f>
        <v>3788</v>
      </c>
      <c r="AB12" s="11">
        <v>5471</v>
      </c>
      <c r="AC12" s="517">
        <v>10656</v>
      </c>
      <c r="AD12" s="11"/>
      <c r="AE12" s="686"/>
      <c r="AF12" s="11">
        <v>515</v>
      </c>
      <c r="AG12" s="517">
        <v>1034</v>
      </c>
      <c r="AH12" s="11"/>
      <c r="AI12" s="517"/>
      <c r="AJ12" s="11"/>
      <c r="AK12" s="686"/>
      <c r="AL12" s="711"/>
      <c r="AM12" s="517"/>
      <c r="AN12" s="227">
        <v>15622</v>
      </c>
      <c r="AO12" s="700">
        <v>47136</v>
      </c>
      <c r="AP12" s="703">
        <v>-77</v>
      </c>
      <c r="AQ12" s="294">
        <v>505</v>
      </c>
      <c r="AR12" s="170">
        <v>828</v>
      </c>
      <c r="AS12" s="517">
        <v>918</v>
      </c>
      <c r="AT12" s="11"/>
      <c r="AU12" s="686"/>
      <c r="AV12" s="8">
        <f t="shared" si="0"/>
        <v>26497</v>
      </c>
      <c r="AW12" s="8">
        <f t="shared" si="1"/>
        <v>80888</v>
      </c>
      <c r="AX12" s="170"/>
      <c r="AY12" s="16"/>
      <c r="AZ12" s="8">
        <f t="shared" si="2"/>
        <v>26497</v>
      </c>
      <c r="BA12" s="685">
        <f t="shared" si="3"/>
        <v>80888</v>
      </c>
    </row>
    <row r="13" spans="1:53" s="632" customFormat="1" ht="14.25">
      <c r="A13" s="629" t="s">
        <v>243</v>
      </c>
      <c r="B13" s="633">
        <f aca="true" t="shared" si="4" ref="B13:X13">SUM(B5:B12)</f>
        <v>1084526</v>
      </c>
      <c r="C13" s="633">
        <f t="shared" si="4"/>
        <v>3155231</v>
      </c>
      <c r="D13" s="633">
        <f t="shared" si="4"/>
        <v>18105</v>
      </c>
      <c r="E13" s="633">
        <f t="shared" si="4"/>
        <v>64737</v>
      </c>
      <c r="F13" s="633">
        <f t="shared" si="4"/>
        <v>130912</v>
      </c>
      <c r="G13" s="633">
        <f t="shared" si="4"/>
        <v>382692</v>
      </c>
      <c r="H13" s="633">
        <f t="shared" si="4"/>
        <v>1713384</v>
      </c>
      <c r="I13" s="633">
        <f t="shared" si="4"/>
        <v>6512938</v>
      </c>
      <c r="J13" s="633">
        <f t="shared" si="4"/>
        <v>-369264</v>
      </c>
      <c r="K13" s="633">
        <f t="shared" si="4"/>
        <v>-965201</v>
      </c>
      <c r="L13" s="633">
        <f t="shared" si="4"/>
        <v>218098</v>
      </c>
      <c r="M13" s="633">
        <f t="shared" si="4"/>
        <v>788156</v>
      </c>
      <c r="N13" s="633">
        <f t="shared" si="4"/>
        <v>467613</v>
      </c>
      <c r="O13" s="633">
        <f t="shared" si="4"/>
        <v>1666454</v>
      </c>
      <c r="P13" s="633">
        <f t="shared" si="4"/>
        <v>204948</v>
      </c>
      <c r="Q13" s="633">
        <f t="shared" si="4"/>
        <v>544001</v>
      </c>
      <c r="R13" s="633">
        <f t="shared" si="4"/>
        <v>207872</v>
      </c>
      <c r="S13" s="633">
        <f t="shared" si="4"/>
        <v>763396</v>
      </c>
      <c r="T13" s="633">
        <f t="shared" si="4"/>
        <v>46177</v>
      </c>
      <c r="U13" s="633">
        <f t="shared" si="4"/>
        <v>149275</v>
      </c>
      <c r="V13" s="633">
        <f t="shared" si="4"/>
        <v>2821255</v>
      </c>
      <c r="W13" s="633">
        <f t="shared" si="4"/>
        <v>10915217</v>
      </c>
      <c r="X13" s="633">
        <f t="shared" si="4"/>
        <v>5489622</v>
      </c>
      <c r="Y13" s="725">
        <f>X13</f>
        <v>5489622</v>
      </c>
      <c r="Z13" s="633">
        <f aca="true" t="shared" si="5" ref="Z13:AO13">SUM(Z5:Z12)</f>
        <v>128024</v>
      </c>
      <c r="AA13" s="633">
        <f t="shared" si="5"/>
        <v>364462</v>
      </c>
      <c r="AB13" s="633">
        <f t="shared" si="5"/>
        <v>420046</v>
      </c>
      <c r="AC13" s="633">
        <f t="shared" si="5"/>
        <v>727157</v>
      </c>
      <c r="AD13" s="633">
        <f t="shared" si="5"/>
        <v>540992</v>
      </c>
      <c r="AE13" s="633">
        <f t="shared" si="5"/>
        <v>1551590</v>
      </c>
      <c r="AF13" s="633">
        <f t="shared" si="5"/>
        <v>1766647</v>
      </c>
      <c r="AG13" s="633">
        <f t="shared" si="5"/>
        <v>3890891</v>
      </c>
      <c r="AH13" s="633">
        <f t="shared" si="5"/>
        <v>301879</v>
      </c>
      <c r="AI13" s="707">
        <f t="shared" si="5"/>
        <v>1027753</v>
      </c>
      <c r="AJ13" s="633">
        <f t="shared" si="5"/>
        <v>179386</v>
      </c>
      <c r="AK13" s="633">
        <f t="shared" si="5"/>
        <v>1021933</v>
      </c>
      <c r="AL13" s="633">
        <f t="shared" si="5"/>
        <v>0</v>
      </c>
      <c r="AM13" s="707">
        <f t="shared" si="5"/>
        <v>0</v>
      </c>
      <c r="AN13" s="633">
        <f t="shared" si="5"/>
        <v>4463387</v>
      </c>
      <c r="AO13" s="695">
        <f t="shared" si="5"/>
        <v>10346272</v>
      </c>
      <c r="AP13" s="633">
        <f aca="true" t="shared" si="6" ref="AP13:AU13">SUM(AP5:AP12)</f>
        <v>104818</v>
      </c>
      <c r="AQ13" s="694">
        <f t="shared" si="6"/>
        <v>156796</v>
      </c>
      <c r="AR13" s="633">
        <f t="shared" si="6"/>
        <v>343085</v>
      </c>
      <c r="AS13" s="633">
        <f t="shared" si="6"/>
        <v>996475</v>
      </c>
      <c r="AT13" s="633">
        <f t="shared" si="6"/>
        <v>361936</v>
      </c>
      <c r="AU13" s="633">
        <f t="shared" si="6"/>
        <v>1272562</v>
      </c>
      <c r="AV13" s="630">
        <f t="shared" si="0"/>
        <v>20643448</v>
      </c>
      <c r="AW13" s="630">
        <f t="shared" si="1"/>
        <v>50822409</v>
      </c>
      <c r="AX13" s="633">
        <f>SUM(AX5:AX12)</f>
        <v>212004</v>
      </c>
      <c r="AY13" s="633">
        <f>SUM(AY5:AY12)</f>
        <v>322246</v>
      </c>
      <c r="AZ13" s="630">
        <f t="shared" si="2"/>
        <v>20855452</v>
      </c>
      <c r="BA13" s="631">
        <f t="shared" si="3"/>
        <v>51144655</v>
      </c>
    </row>
    <row r="14" spans="1:53" ht="42.75">
      <c r="A14" s="585" t="s">
        <v>83</v>
      </c>
      <c r="B14" s="39">
        <v>57021</v>
      </c>
      <c r="C14" s="734">
        <v>367612</v>
      </c>
      <c r="D14" s="11">
        <v>31095</v>
      </c>
      <c r="E14" s="686">
        <v>87945</v>
      </c>
      <c r="F14" s="11">
        <v>10396</v>
      </c>
      <c r="G14" s="686">
        <v>55405</v>
      </c>
      <c r="H14" s="11">
        <v>85342</v>
      </c>
      <c r="I14" s="517">
        <v>287853</v>
      </c>
      <c r="J14" s="11">
        <v>27618</v>
      </c>
      <c r="K14" s="517">
        <v>83220</v>
      </c>
      <c r="L14" s="11">
        <v>21091</v>
      </c>
      <c r="M14" s="686">
        <v>56825</v>
      </c>
      <c r="N14" s="11">
        <v>150133</v>
      </c>
      <c r="O14" s="517">
        <v>689985</v>
      </c>
      <c r="P14" s="11">
        <v>2223</v>
      </c>
      <c r="Q14" s="517">
        <v>6355</v>
      </c>
      <c r="R14" s="11">
        <v>624</v>
      </c>
      <c r="S14" s="686">
        <v>1144</v>
      </c>
      <c r="T14" s="11">
        <v>5913</v>
      </c>
      <c r="U14" s="686">
        <v>44444</v>
      </c>
      <c r="V14" s="11">
        <v>66443</v>
      </c>
      <c r="W14" s="517">
        <v>154893</v>
      </c>
      <c r="X14" s="11">
        <v>117296</v>
      </c>
      <c r="Y14" s="724">
        <v>307568</v>
      </c>
      <c r="Z14" s="11">
        <v>16194</v>
      </c>
      <c r="AA14" s="720">
        <v>47563</v>
      </c>
      <c r="AB14" s="11">
        <v>26647</v>
      </c>
      <c r="AC14" s="517">
        <v>95600</v>
      </c>
      <c r="AD14" s="11">
        <v>13963</v>
      </c>
      <c r="AE14" s="686">
        <v>34748</v>
      </c>
      <c r="AF14" s="11">
        <v>93781</v>
      </c>
      <c r="AG14" s="517">
        <v>131784</v>
      </c>
      <c r="AH14" s="11">
        <v>14868</v>
      </c>
      <c r="AI14" s="686">
        <v>312471</v>
      </c>
      <c r="AJ14" s="11">
        <v>58771</v>
      </c>
      <c r="AK14" s="686">
        <v>386055</v>
      </c>
      <c r="AL14" s="711"/>
      <c r="AM14" s="686"/>
      <c r="AN14" s="226"/>
      <c r="AO14" s="700"/>
      <c r="AP14" s="703">
        <v>2300</v>
      </c>
      <c r="AQ14" s="294">
        <v>10116</v>
      </c>
      <c r="AR14" s="170">
        <v>33140</v>
      </c>
      <c r="AS14" s="517">
        <v>64779</v>
      </c>
      <c r="AT14" s="11">
        <v>8094</v>
      </c>
      <c r="AU14" s="686">
        <v>21670</v>
      </c>
      <c r="AV14" s="8">
        <f t="shared" si="0"/>
        <v>842953</v>
      </c>
      <c r="AW14" s="8">
        <f t="shared" si="1"/>
        <v>3248035</v>
      </c>
      <c r="AX14" s="170">
        <v>1138</v>
      </c>
      <c r="AY14" s="16">
        <v>3334</v>
      </c>
      <c r="AZ14" s="8">
        <f t="shared" si="2"/>
        <v>844091</v>
      </c>
      <c r="BA14" s="685">
        <f t="shared" si="3"/>
        <v>3251369</v>
      </c>
    </row>
    <row r="15" spans="1:53" ht="14.25">
      <c r="A15" s="585" t="s">
        <v>84</v>
      </c>
      <c r="B15" s="39"/>
      <c r="C15" s="734"/>
      <c r="D15" s="11"/>
      <c r="E15" s="686"/>
      <c r="F15" s="11"/>
      <c r="G15" s="686"/>
      <c r="H15" s="11"/>
      <c r="I15" s="517"/>
      <c r="J15" s="11"/>
      <c r="K15" s="517"/>
      <c r="L15" s="11"/>
      <c r="M15" s="686"/>
      <c r="N15" s="11"/>
      <c r="O15" s="517"/>
      <c r="P15" s="11"/>
      <c r="Q15" s="517"/>
      <c r="R15" s="11"/>
      <c r="S15" s="686"/>
      <c r="T15" s="11"/>
      <c r="U15" s="686"/>
      <c r="V15" s="11"/>
      <c r="W15" s="517"/>
      <c r="X15" s="11"/>
      <c r="Y15" s="724"/>
      <c r="Z15" s="11"/>
      <c r="AA15" s="720"/>
      <c r="AB15" s="11"/>
      <c r="AC15" s="517"/>
      <c r="AD15" s="11"/>
      <c r="AE15" s="686"/>
      <c r="AF15" s="11"/>
      <c r="AG15" s="517"/>
      <c r="AH15" s="11"/>
      <c r="AI15" s="686"/>
      <c r="AJ15" s="11"/>
      <c r="AK15" s="686"/>
      <c r="AL15" s="711"/>
      <c r="AM15" s="686"/>
      <c r="AN15" s="228"/>
      <c r="AO15" s="700"/>
      <c r="AP15" s="703"/>
      <c r="AQ15" s="294"/>
      <c r="AR15" s="170"/>
      <c r="AS15" s="517"/>
      <c r="AT15" s="11"/>
      <c r="AU15" s="686"/>
      <c r="AV15" s="8">
        <f t="shared" si="0"/>
        <v>0</v>
      </c>
      <c r="AW15" s="8">
        <f t="shared" si="1"/>
        <v>0</v>
      </c>
      <c r="AX15" s="170"/>
      <c r="AY15" s="16"/>
      <c r="AZ15" s="8">
        <f t="shared" si="2"/>
        <v>0</v>
      </c>
      <c r="BA15" s="685">
        <f t="shared" si="3"/>
        <v>0</v>
      </c>
    </row>
    <row r="16" spans="1:53" ht="14.25">
      <c r="A16" s="585" t="s">
        <v>85</v>
      </c>
      <c r="B16" s="8"/>
      <c r="C16" s="734"/>
      <c r="D16" s="18"/>
      <c r="E16" s="686"/>
      <c r="F16" s="18"/>
      <c r="G16" s="686"/>
      <c r="H16" s="18"/>
      <c r="I16" s="517"/>
      <c r="J16" s="18"/>
      <c r="K16" s="517"/>
      <c r="L16" s="18"/>
      <c r="M16" s="686"/>
      <c r="N16" s="18"/>
      <c r="O16" s="517"/>
      <c r="P16" s="18"/>
      <c r="Q16" s="517"/>
      <c r="R16" s="18"/>
      <c r="S16" s="686"/>
      <c r="T16" s="18"/>
      <c r="U16" s="686"/>
      <c r="V16" s="18"/>
      <c r="W16" s="517"/>
      <c r="X16" s="18"/>
      <c r="Y16" s="724"/>
      <c r="Z16" s="40"/>
      <c r="AA16" s="720"/>
      <c r="AB16" s="18"/>
      <c r="AC16" s="517"/>
      <c r="AD16" s="717"/>
      <c r="AE16" s="686"/>
      <c r="AF16" s="18"/>
      <c r="AG16" s="517"/>
      <c r="AH16" s="18"/>
      <c r="AI16" s="608"/>
      <c r="AJ16" s="18"/>
      <c r="AK16" s="686"/>
      <c r="AL16" s="711"/>
      <c r="AM16" s="686"/>
      <c r="AN16" s="227">
        <v>1200</v>
      </c>
      <c r="AO16" s="700">
        <v>3615</v>
      </c>
      <c r="AP16" s="703"/>
      <c r="AQ16" s="294"/>
      <c r="AR16" s="170"/>
      <c r="AS16" s="517"/>
      <c r="AT16" s="18"/>
      <c r="AU16" s="686"/>
      <c r="AV16" s="8">
        <f t="shared" si="0"/>
        <v>1200</v>
      </c>
      <c r="AW16" s="8">
        <f t="shared" si="1"/>
        <v>3615</v>
      </c>
      <c r="AX16" s="18"/>
      <c r="AY16" s="16"/>
      <c r="AZ16" s="8">
        <f t="shared" si="2"/>
        <v>1200</v>
      </c>
      <c r="BA16" s="685">
        <f t="shared" si="3"/>
        <v>3615</v>
      </c>
    </row>
    <row r="17" spans="1:53" ht="28.5">
      <c r="A17" s="585" t="s">
        <v>86</v>
      </c>
      <c r="B17" s="39"/>
      <c r="C17" s="734"/>
      <c r="D17" s="11"/>
      <c r="E17" s="686"/>
      <c r="F17" s="11"/>
      <c r="G17" s="686"/>
      <c r="H17" s="11"/>
      <c r="I17" s="517"/>
      <c r="J17" s="11"/>
      <c r="K17" s="517"/>
      <c r="L17" s="11"/>
      <c r="M17" s="686"/>
      <c r="N17" s="11"/>
      <c r="O17" s="517"/>
      <c r="P17" s="11"/>
      <c r="Q17" s="517"/>
      <c r="R17" s="11"/>
      <c r="S17" s="686"/>
      <c r="T17" s="11"/>
      <c r="U17" s="686"/>
      <c r="V17" s="11"/>
      <c r="W17" s="517"/>
      <c r="X17" s="11"/>
      <c r="Y17" s="724"/>
      <c r="Z17" s="40"/>
      <c r="AA17" s="720"/>
      <c r="AB17" s="11"/>
      <c r="AC17" s="517"/>
      <c r="AD17" s="11"/>
      <c r="AE17" s="686"/>
      <c r="AF17" s="11"/>
      <c r="AG17" s="517"/>
      <c r="AH17" s="11"/>
      <c r="AI17" s="686"/>
      <c r="AJ17" s="11"/>
      <c r="AK17" s="686"/>
      <c r="AL17" s="711"/>
      <c r="AM17" s="686"/>
      <c r="AN17" s="227">
        <v>991</v>
      </c>
      <c r="AO17" s="700">
        <v>2268</v>
      </c>
      <c r="AP17" s="703"/>
      <c r="AQ17" s="294"/>
      <c r="AR17" s="170"/>
      <c r="AS17" s="517"/>
      <c r="AT17" s="11"/>
      <c r="AU17" s="686"/>
      <c r="AV17" s="8">
        <f t="shared" si="0"/>
        <v>991</v>
      </c>
      <c r="AW17" s="8">
        <f t="shared" si="1"/>
        <v>2268</v>
      </c>
      <c r="AX17" s="11"/>
      <c r="AY17" s="16"/>
      <c r="AZ17" s="8">
        <f t="shared" si="2"/>
        <v>991</v>
      </c>
      <c r="BA17" s="685">
        <f t="shared" si="3"/>
        <v>2268</v>
      </c>
    </row>
    <row r="18" spans="1:53" ht="14.25">
      <c r="A18" s="585" t="s">
        <v>87</v>
      </c>
      <c r="B18" s="39"/>
      <c r="C18" s="734"/>
      <c r="D18" s="11"/>
      <c r="E18" s="686"/>
      <c r="F18" s="11"/>
      <c r="G18" s="686"/>
      <c r="H18" s="11"/>
      <c r="I18" s="517"/>
      <c r="J18" s="11"/>
      <c r="K18" s="517"/>
      <c r="L18" s="11"/>
      <c r="M18" s="686"/>
      <c r="N18" s="11"/>
      <c r="O18" s="517"/>
      <c r="P18" s="11"/>
      <c r="Q18" s="517"/>
      <c r="R18" s="11"/>
      <c r="S18" s="686"/>
      <c r="T18" s="11"/>
      <c r="U18" s="686"/>
      <c r="V18" s="11"/>
      <c r="W18" s="517"/>
      <c r="X18" s="11"/>
      <c r="Y18" s="724"/>
      <c r="Z18" s="40"/>
      <c r="AA18" s="720"/>
      <c r="AB18" s="11"/>
      <c r="AC18" s="517"/>
      <c r="AD18" s="11"/>
      <c r="AE18" s="686"/>
      <c r="AF18" s="11"/>
      <c r="AG18" s="517"/>
      <c r="AH18" s="11"/>
      <c r="AI18" s="686"/>
      <c r="AJ18" s="11"/>
      <c r="AK18" s="686"/>
      <c r="AL18" s="711"/>
      <c r="AM18" s="686"/>
      <c r="AN18" s="227">
        <v>1130</v>
      </c>
      <c r="AO18" s="700">
        <v>3394</v>
      </c>
      <c r="AP18" s="703"/>
      <c r="AQ18" s="294"/>
      <c r="AR18" s="170"/>
      <c r="AS18" s="517"/>
      <c r="AT18" s="11"/>
      <c r="AU18" s="686"/>
      <c r="AV18" s="8">
        <f t="shared" si="0"/>
        <v>1130</v>
      </c>
      <c r="AW18" s="8">
        <f t="shared" si="1"/>
        <v>3394</v>
      </c>
      <c r="AX18" s="11"/>
      <c r="AY18" s="16"/>
      <c r="AZ18" s="8">
        <f t="shared" si="2"/>
        <v>1130</v>
      </c>
      <c r="BA18" s="685">
        <f t="shared" si="3"/>
        <v>3394</v>
      </c>
    </row>
    <row r="19" spans="1:53" ht="14.25">
      <c r="A19" s="585" t="s">
        <v>88</v>
      </c>
      <c r="B19" s="39"/>
      <c r="C19" s="734"/>
      <c r="D19" s="11">
        <v>2100</v>
      </c>
      <c r="E19" s="686">
        <v>22898</v>
      </c>
      <c r="F19" s="11"/>
      <c r="G19" s="686"/>
      <c r="H19" s="11"/>
      <c r="I19" s="517"/>
      <c r="J19" s="11"/>
      <c r="K19" s="517"/>
      <c r="L19" s="11"/>
      <c r="M19" s="686"/>
      <c r="N19" s="11">
        <f>20706+199523</f>
        <v>220229</v>
      </c>
      <c r="O19" s="517">
        <f>48843+448152</f>
        <v>496995</v>
      </c>
      <c r="P19" s="11">
        <v>17499</v>
      </c>
      <c r="Q19" s="517">
        <v>18721</v>
      </c>
      <c r="R19" s="11">
        <v>9695</v>
      </c>
      <c r="S19" s="686">
        <v>29086</v>
      </c>
      <c r="T19" s="11"/>
      <c r="U19" s="686"/>
      <c r="V19" s="11"/>
      <c r="W19" s="517"/>
      <c r="X19" s="11"/>
      <c r="Y19" s="724"/>
      <c r="Z19" s="40">
        <v>1577</v>
      </c>
      <c r="AA19" s="720">
        <v>31379</v>
      </c>
      <c r="AB19" s="11"/>
      <c r="AC19" s="517"/>
      <c r="AD19" s="11"/>
      <c r="AE19" s="686"/>
      <c r="AF19" s="11">
        <f>-29+630+8561</f>
        <v>9162</v>
      </c>
      <c r="AG19" s="517">
        <f>677+1367+35253</f>
        <v>37297</v>
      </c>
      <c r="AH19" s="11"/>
      <c r="AI19" s="686"/>
      <c r="AJ19" s="11">
        <v>8349</v>
      </c>
      <c r="AK19" s="686">
        <v>73862</v>
      </c>
      <c r="AL19" s="711"/>
      <c r="AM19" s="686"/>
      <c r="AN19" s="227">
        <v>26118</v>
      </c>
      <c r="AO19" s="700">
        <v>99361</v>
      </c>
      <c r="AP19" s="703"/>
      <c r="AQ19" s="294"/>
      <c r="AR19" s="170"/>
      <c r="AS19" s="517"/>
      <c r="AT19" s="11">
        <v>7270</v>
      </c>
      <c r="AU19" s="686">
        <v>27093</v>
      </c>
      <c r="AV19" s="8">
        <f t="shared" si="0"/>
        <v>301999</v>
      </c>
      <c r="AW19" s="8">
        <f t="shared" si="1"/>
        <v>836692</v>
      </c>
      <c r="AX19" s="11"/>
      <c r="AY19" s="16"/>
      <c r="AZ19" s="8">
        <f t="shared" si="2"/>
        <v>301999</v>
      </c>
      <c r="BA19" s="685">
        <f t="shared" si="3"/>
        <v>836692</v>
      </c>
    </row>
    <row r="20" spans="1:53" ht="28.5">
      <c r="A20" s="585" t="s">
        <v>89</v>
      </c>
      <c r="B20" s="39">
        <v>6922</v>
      </c>
      <c r="C20" s="734">
        <v>20764</v>
      </c>
      <c r="D20" s="11"/>
      <c r="E20" s="686"/>
      <c r="F20" s="11"/>
      <c r="G20" s="686"/>
      <c r="H20" s="11"/>
      <c r="I20" s="517"/>
      <c r="J20" s="11"/>
      <c r="K20" s="517"/>
      <c r="L20" s="11"/>
      <c r="M20" s="686"/>
      <c r="N20" s="11"/>
      <c r="O20" s="517"/>
      <c r="P20" s="11"/>
      <c r="Q20" s="517"/>
      <c r="R20" s="11">
        <v>1552</v>
      </c>
      <c r="S20" s="686">
        <v>3867</v>
      </c>
      <c r="T20" s="11"/>
      <c r="U20" s="686"/>
      <c r="V20" s="11"/>
      <c r="W20" s="517"/>
      <c r="X20" s="11"/>
      <c r="Y20" s="724"/>
      <c r="Z20" s="40"/>
      <c r="AA20" s="720"/>
      <c r="AB20" s="11"/>
      <c r="AC20" s="517"/>
      <c r="AD20" s="11">
        <v>-50</v>
      </c>
      <c r="AE20" s="686">
        <v>18700</v>
      </c>
      <c r="AF20" s="11">
        <v>33273</v>
      </c>
      <c r="AG20" s="517">
        <v>100470</v>
      </c>
      <c r="AH20" s="11"/>
      <c r="AI20" s="686"/>
      <c r="AJ20" s="11"/>
      <c r="AK20" s="686"/>
      <c r="AL20" s="711"/>
      <c r="AM20" s="686"/>
      <c r="AN20" s="227">
        <v>55077</v>
      </c>
      <c r="AO20" s="700">
        <v>165231</v>
      </c>
      <c r="AP20" s="703">
        <v>17775</v>
      </c>
      <c r="AQ20" s="294">
        <v>28265</v>
      </c>
      <c r="AR20" s="170">
        <v>3798</v>
      </c>
      <c r="AS20" s="517">
        <v>11403</v>
      </c>
      <c r="AT20" s="11">
        <v>109</v>
      </c>
      <c r="AU20" s="686">
        <v>303</v>
      </c>
      <c r="AV20" s="8">
        <f t="shared" si="0"/>
        <v>118456</v>
      </c>
      <c r="AW20" s="8">
        <f t="shared" si="1"/>
        <v>349003</v>
      </c>
      <c r="AX20" s="11"/>
      <c r="AY20" s="16"/>
      <c r="AZ20" s="8">
        <f t="shared" si="2"/>
        <v>118456</v>
      </c>
      <c r="BA20" s="685">
        <f t="shared" si="3"/>
        <v>349003</v>
      </c>
    </row>
    <row r="21" spans="1:53" ht="14.25">
      <c r="A21" s="585" t="s">
        <v>90</v>
      </c>
      <c r="B21" s="8"/>
      <c r="C21" s="734"/>
      <c r="D21" s="18"/>
      <c r="E21" s="686"/>
      <c r="F21" s="18"/>
      <c r="G21" s="686"/>
      <c r="H21" s="18"/>
      <c r="I21" s="517"/>
      <c r="J21" s="18"/>
      <c r="K21" s="517"/>
      <c r="L21" s="18">
        <v>-39</v>
      </c>
      <c r="M21" s="686">
        <v>-39</v>
      </c>
      <c r="N21" s="18"/>
      <c r="O21" s="517"/>
      <c r="P21" s="18"/>
      <c r="Q21" s="517"/>
      <c r="R21" s="18"/>
      <c r="S21" s="686"/>
      <c r="T21" s="18"/>
      <c r="U21" s="686"/>
      <c r="V21" s="18"/>
      <c r="W21" s="517"/>
      <c r="X21" s="18"/>
      <c r="Y21" s="724"/>
      <c r="Z21" s="40"/>
      <c r="AA21" s="720"/>
      <c r="AB21" s="18"/>
      <c r="AC21" s="517"/>
      <c r="AD21" s="717"/>
      <c r="AE21" s="686"/>
      <c r="AF21" s="18"/>
      <c r="AG21" s="517"/>
      <c r="AH21" s="18"/>
      <c r="AI21" s="608"/>
      <c r="AJ21" s="18"/>
      <c r="AK21" s="686"/>
      <c r="AL21" s="711"/>
      <c r="AM21" s="686"/>
      <c r="AN21" s="228"/>
      <c r="AO21" s="700"/>
      <c r="AP21" s="703"/>
      <c r="AQ21" s="294"/>
      <c r="AR21" s="170"/>
      <c r="AS21" s="517"/>
      <c r="AT21" s="18">
        <v>-3</v>
      </c>
      <c r="AU21" s="686">
        <v>-5</v>
      </c>
      <c r="AV21" s="8">
        <f t="shared" si="0"/>
        <v>-42</v>
      </c>
      <c r="AW21" s="8">
        <f t="shared" si="1"/>
        <v>-44</v>
      </c>
      <c r="AX21" s="18"/>
      <c r="AY21" s="16"/>
      <c r="AZ21" s="8">
        <f t="shared" si="2"/>
        <v>-42</v>
      </c>
      <c r="BA21" s="685">
        <f t="shared" si="3"/>
        <v>-44</v>
      </c>
    </row>
    <row r="22" spans="1:53" ht="28.5">
      <c r="A22" s="585" t="s">
        <v>91</v>
      </c>
      <c r="B22" s="39">
        <v>744054</v>
      </c>
      <c r="C22" s="734">
        <v>1944898</v>
      </c>
      <c r="D22" s="11">
        <v>242236</v>
      </c>
      <c r="E22" s="686">
        <v>675439</v>
      </c>
      <c r="F22" s="11">
        <v>90038</v>
      </c>
      <c r="G22" s="686">
        <v>203323</v>
      </c>
      <c r="H22" s="11">
        <v>311</v>
      </c>
      <c r="I22" s="517">
        <v>589814</v>
      </c>
      <c r="J22" s="11"/>
      <c r="K22" s="517"/>
      <c r="L22" s="11">
        <f>18545+614-18565+10280</f>
        <v>10874</v>
      </c>
      <c r="M22" s="686">
        <f>21634+2452+8177+28020</f>
        <v>60283</v>
      </c>
      <c r="N22" s="243">
        <v>-226357</v>
      </c>
      <c r="O22" s="517">
        <v>27045</v>
      </c>
      <c r="P22" s="11">
        <v>810912</v>
      </c>
      <c r="Q22" s="517">
        <v>2230603</v>
      </c>
      <c r="R22" s="11">
        <v>743719</v>
      </c>
      <c r="S22" s="686">
        <v>1827528</v>
      </c>
      <c r="T22" s="11">
        <v>168231</v>
      </c>
      <c r="U22" s="686">
        <v>681531</v>
      </c>
      <c r="V22" s="11">
        <v>88251</v>
      </c>
      <c r="W22" s="517">
        <v>299551</v>
      </c>
      <c r="X22" s="11">
        <v>2341659</v>
      </c>
      <c r="Y22" s="724">
        <v>7021542</v>
      </c>
      <c r="Z22" s="40"/>
      <c r="AA22" s="720"/>
      <c r="AB22" s="11">
        <v>17364</v>
      </c>
      <c r="AC22" s="517">
        <v>663692</v>
      </c>
      <c r="AD22" s="11">
        <v>113265</v>
      </c>
      <c r="AE22" s="686">
        <v>170463</v>
      </c>
      <c r="AF22" s="11">
        <v>-202699</v>
      </c>
      <c r="AG22" s="517">
        <v>90053</v>
      </c>
      <c r="AH22" s="11">
        <v>-5123</v>
      </c>
      <c r="AI22" s="686">
        <v>242379</v>
      </c>
      <c r="AJ22" s="11"/>
      <c r="AK22" s="686">
        <v>277992</v>
      </c>
      <c r="AL22" s="711"/>
      <c r="AM22" s="686"/>
      <c r="AN22" s="228"/>
      <c r="AO22" s="700"/>
      <c r="AP22" s="703">
        <v>-503</v>
      </c>
      <c r="AQ22" s="294"/>
      <c r="AR22" s="170">
        <f>-47731+18162+65544</f>
        <v>35975</v>
      </c>
      <c r="AS22" s="517">
        <f>83653+34952+174877</f>
        <v>293482</v>
      </c>
      <c r="AT22" s="11">
        <v>459940</v>
      </c>
      <c r="AU22" s="686">
        <v>1900759</v>
      </c>
      <c r="AV22" s="8">
        <f t="shared" si="0"/>
        <v>5432147</v>
      </c>
      <c r="AW22" s="8">
        <f t="shared" si="1"/>
        <v>19200377</v>
      </c>
      <c r="AX22" s="170"/>
      <c r="AY22" s="16"/>
      <c r="AZ22" s="8">
        <f t="shared" si="2"/>
        <v>5432147</v>
      </c>
      <c r="BA22" s="685">
        <f t="shared" si="3"/>
        <v>19200377</v>
      </c>
    </row>
    <row r="23" spans="1:53" ht="14.25">
      <c r="A23" s="585" t="s">
        <v>92</v>
      </c>
      <c r="B23" s="39"/>
      <c r="C23" s="734"/>
      <c r="D23" s="11"/>
      <c r="E23" s="686"/>
      <c r="F23" s="11"/>
      <c r="G23" s="686"/>
      <c r="H23" s="11"/>
      <c r="I23" s="517"/>
      <c r="J23" s="11"/>
      <c r="K23" s="517"/>
      <c r="L23" s="11"/>
      <c r="M23" s="686"/>
      <c r="N23" s="11"/>
      <c r="O23" s="517"/>
      <c r="P23" s="11"/>
      <c r="Q23" s="517"/>
      <c r="R23" s="11"/>
      <c r="S23" s="686"/>
      <c r="T23" s="11"/>
      <c r="U23" s="686"/>
      <c r="V23" s="11"/>
      <c r="W23" s="517"/>
      <c r="X23" s="11"/>
      <c r="Y23" s="724"/>
      <c r="Z23" s="40"/>
      <c r="AA23" s="720"/>
      <c r="AB23" s="11"/>
      <c r="AC23" s="517"/>
      <c r="AD23" s="11"/>
      <c r="AE23" s="686"/>
      <c r="AF23" s="11"/>
      <c r="AG23" s="517"/>
      <c r="AH23" s="11"/>
      <c r="AI23" s="686"/>
      <c r="AJ23" s="11"/>
      <c r="AK23" s="686"/>
      <c r="AL23" s="711"/>
      <c r="AM23" s="686"/>
      <c r="AN23" s="226"/>
      <c r="AO23" s="700"/>
      <c r="AP23" s="703"/>
      <c r="AQ23" s="294"/>
      <c r="AR23" s="170"/>
      <c r="AS23" s="517"/>
      <c r="AT23" s="11"/>
      <c r="AU23" s="686"/>
      <c r="AV23" s="8">
        <f t="shared" si="0"/>
        <v>0</v>
      </c>
      <c r="AW23" s="8">
        <f t="shared" si="1"/>
        <v>0</v>
      </c>
      <c r="AX23" s="170"/>
      <c r="AY23" s="16"/>
      <c r="AZ23" s="8">
        <f t="shared" si="2"/>
        <v>0</v>
      </c>
      <c r="BA23" s="685">
        <f t="shared" si="3"/>
        <v>0</v>
      </c>
    </row>
    <row r="24" spans="1:53" ht="28.5">
      <c r="A24" s="585" t="s">
        <v>93</v>
      </c>
      <c r="B24" s="39"/>
      <c r="C24" s="734"/>
      <c r="D24" s="11"/>
      <c r="E24" s="686"/>
      <c r="F24" s="11"/>
      <c r="G24" s="686"/>
      <c r="H24" s="11"/>
      <c r="I24" s="517">
        <v>822361</v>
      </c>
      <c r="J24" s="11">
        <v>30000</v>
      </c>
      <c r="K24" s="517">
        <v>38000</v>
      </c>
      <c r="L24" s="11"/>
      <c r="M24" s="686"/>
      <c r="N24" s="11">
        <v>330644</v>
      </c>
      <c r="O24" s="517">
        <v>1871361</v>
      </c>
      <c r="P24" s="11">
        <v>40079</v>
      </c>
      <c r="Q24" s="517">
        <v>312187</v>
      </c>
      <c r="R24" s="11"/>
      <c r="S24" s="686">
        <v>51000</v>
      </c>
      <c r="T24" s="11"/>
      <c r="U24" s="686"/>
      <c r="V24" s="11">
        <v>30403</v>
      </c>
      <c r="W24" s="517">
        <v>188214</v>
      </c>
      <c r="X24" s="11"/>
      <c r="Y24" s="724">
        <v>357982</v>
      </c>
      <c r="Z24" s="40">
        <v>799</v>
      </c>
      <c r="AA24" s="720">
        <v>-5908</v>
      </c>
      <c r="AB24" s="11"/>
      <c r="AC24" s="517">
        <v>975297</v>
      </c>
      <c r="AD24" s="11">
        <v>884</v>
      </c>
      <c r="AE24" s="686">
        <v>809</v>
      </c>
      <c r="AF24" s="11"/>
      <c r="AG24" s="517"/>
      <c r="AH24" s="11"/>
      <c r="AI24" s="686"/>
      <c r="AJ24" s="11">
        <v>14899</v>
      </c>
      <c r="AK24" s="686">
        <v>29799</v>
      </c>
      <c r="AL24" s="711"/>
      <c r="AM24" s="686"/>
      <c r="AN24" s="227">
        <v>-699476</v>
      </c>
      <c r="AO24" s="700">
        <v>23517</v>
      </c>
      <c r="AP24" s="703"/>
      <c r="AQ24" s="294">
        <v>33325</v>
      </c>
      <c r="AR24" s="170">
        <v>43520</v>
      </c>
      <c r="AS24" s="517">
        <v>296320</v>
      </c>
      <c r="AT24" s="11"/>
      <c r="AU24" s="686"/>
      <c r="AV24" s="8">
        <f t="shared" si="0"/>
        <v>-208248</v>
      </c>
      <c r="AW24" s="8">
        <f t="shared" si="1"/>
        <v>4994264</v>
      </c>
      <c r="AX24" s="170"/>
      <c r="AY24" s="16"/>
      <c r="AZ24" s="8">
        <f t="shared" si="2"/>
        <v>-208248</v>
      </c>
      <c r="BA24" s="685">
        <f t="shared" si="3"/>
        <v>4994264</v>
      </c>
    </row>
    <row r="25" spans="1:53" ht="14.25">
      <c r="A25" s="585" t="s">
        <v>94</v>
      </c>
      <c r="B25" s="39"/>
      <c r="C25" s="734"/>
      <c r="D25" s="11"/>
      <c r="E25" s="686">
        <v>-200</v>
      </c>
      <c r="F25" s="11"/>
      <c r="G25" s="686"/>
      <c r="H25" s="11"/>
      <c r="I25" s="517"/>
      <c r="J25" s="11"/>
      <c r="K25" s="517"/>
      <c r="L25" s="11"/>
      <c r="M25" s="686">
        <v>55</v>
      </c>
      <c r="N25" s="11"/>
      <c r="O25" s="517"/>
      <c r="P25" s="11"/>
      <c r="Q25" s="517"/>
      <c r="R25" s="11"/>
      <c r="S25" s="686"/>
      <c r="T25" s="11"/>
      <c r="U25" s="686"/>
      <c r="V25" s="11"/>
      <c r="W25" s="517"/>
      <c r="X25" s="11"/>
      <c r="Y25" s="724"/>
      <c r="Z25" s="40"/>
      <c r="AA25" s="720"/>
      <c r="AB25" s="11">
        <v>1178</v>
      </c>
      <c r="AC25" s="517">
        <v>2016</v>
      </c>
      <c r="AD25" s="11"/>
      <c r="AE25" s="686"/>
      <c r="AF25" s="11"/>
      <c r="AG25" s="517"/>
      <c r="AH25" s="11"/>
      <c r="AI25" s="686"/>
      <c r="AJ25" s="11"/>
      <c r="AK25" s="686"/>
      <c r="AL25" s="711"/>
      <c r="AM25" s="686"/>
      <c r="AN25" s="228"/>
      <c r="AO25" s="700"/>
      <c r="AP25" s="703"/>
      <c r="AQ25" s="294"/>
      <c r="AR25" s="170">
        <v>80</v>
      </c>
      <c r="AS25" s="517">
        <v>1004</v>
      </c>
      <c r="AT25" s="11">
        <v>3689</v>
      </c>
      <c r="AU25" s="686">
        <v>7929</v>
      </c>
      <c r="AV25" s="8">
        <f t="shared" si="0"/>
        <v>4947</v>
      </c>
      <c r="AW25" s="8">
        <f t="shared" si="1"/>
        <v>10804</v>
      </c>
      <c r="AX25" s="170"/>
      <c r="AY25" s="16"/>
      <c r="AZ25" s="8">
        <f t="shared" si="2"/>
        <v>4947</v>
      </c>
      <c r="BA25" s="685">
        <f t="shared" si="3"/>
        <v>10804</v>
      </c>
    </row>
    <row r="26" spans="1:53" ht="14.25">
      <c r="A26" s="585" t="s">
        <v>147</v>
      </c>
      <c r="B26" s="39"/>
      <c r="C26" s="734"/>
      <c r="D26" s="11"/>
      <c r="E26" s="686"/>
      <c r="F26" s="11">
        <v>8435</v>
      </c>
      <c r="G26" s="686">
        <v>28248</v>
      </c>
      <c r="H26" s="11"/>
      <c r="I26" s="517"/>
      <c r="J26" s="11"/>
      <c r="K26" s="517"/>
      <c r="L26" s="11"/>
      <c r="M26" s="686">
        <v>474243</v>
      </c>
      <c r="N26" s="11"/>
      <c r="O26" s="517"/>
      <c r="P26" s="11"/>
      <c r="Q26" s="517"/>
      <c r="R26" s="11"/>
      <c r="S26" s="686"/>
      <c r="T26" s="11"/>
      <c r="U26" s="686"/>
      <c r="V26" s="11"/>
      <c r="W26" s="517"/>
      <c r="X26" s="11"/>
      <c r="Y26" s="724"/>
      <c r="Z26" s="40"/>
      <c r="AA26" s="720"/>
      <c r="AB26" s="11"/>
      <c r="AC26" s="517"/>
      <c r="AD26" s="11"/>
      <c r="AE26" s="686"/>
      <c r="AF26" s="11"/>
      <c r="AG26" s="517"/>
      <c r="AH26" s="11"/>
      <c r="AI26" s="686"/>
      <c r="AJ26" s="11"/>
      <c r="AK26" s="686"/>
      <c r="AL26" s="711"/>
      <c r="AM26" s="686"/>
      <c r="AN26" s="228">
        <v>1129232</v>
      </c>
      <c r="AO26" s="700">
        <v>1129232</v>
      </c>
      <c r="AP26" s="257"/>
      <c r="AQ26" s="294"/>
      <c r="AR26" s="170"/>
      <c r="AS26" s="517"/>
      <c r="AT26" s="11"/>
      <c r="AU26" s="686"/>
      <c r="AV26" s="8"/>
      <c r="AW26" s="8"/>
      <c r="AX26" s="170"/>
      <c r="AY26" s="16"/>
      <c r="AZ26" s="8"/>
      <c r="BA26" s="685"/>
    </row>
    <row r="27" spans="1:53" s="632" customFormat="1" ht="14.25">
      <c r="A27" s="629" t="s">
        <v>242</v>
      </c>
      <c r="B27" s="630">
        <f aca="true" t="shared" si="7" ref="B27:AE27">SUM(B14:B25)</f>
        <v>807997</v>
      </c>
      <c r="C27" s="630">
        <f t="shared" si="7"/>
        <v>2333274</v>
      </c>
      <c r="D27" s="630">
        <f>SUM(D14:D26)</f>
        <v>275431</v>
      </c>
      <c r="E27" s="630">
        <f t="shared" si="7"/>
        <v>786082</v>
      </c>
      <c r="F27" s="630">
        <f>SUM(F14:F26)</f>
        <v>108869</v>
      </c>
      <c r="G27" s="630">
        <f>SUM(G14:G26)</f>
        <v>286976</v>
      </c>
      <c r="H27" s="630">
        <f t="shared" si="7"/>
        <v>85653</v>
      </c>
      <c r="I27" s="630">
        <f t="shared" si="7"/>
        <v>1700028</v>
      </c>
      <c r="J27" s="630">
        <f t="shared" si="7"/>
        <v>57618</v>
      </c>
      <c r="K27" s="630">
        <f t="shared" si="7"/>
        <v>121220</v>
      </c>
      <c r="L27" s="630">
        <f>SUM(L14:L26)</f>
        <v>31926</v>
      </c>
      <c r="M27" s="630">
        <f>SUM(M14:M26)</f>
        <v>591367</v>
      </c>
      <c r="N27" s="630">
        <f>SUM(N14:N26)</f>
        <v>474649</v>
      </c>
      <c r="O27" s="630">
        <f>SUM(O14:O26)</f>
        <v>3085386</v>
      </c>
      <c r="P27" s="630">
        <f t="shared" si="7"/>
        <v>870713</v>
      </c>
      <c r="Q27" s="630">
        <f t="shared" si="7"/>
        <v>2567866</v>
      </c>
      <c r="R27" s="630">
        <f t="shared" si="7"/>
        <v>755590</v>
      </c>
      <c r="S27" s="630">
        <f t="shared" si="7"/>
        <v>1912625</v>
      </c>
      <c r="T27" s="630">
        <f t="shared" si="7"/>
        <v>174144</v>
      </c>
      <c r="U27" s="630">
        <f t="shared" si="7"/>
        <v>725975</v>
      </c>
      <c r="V27" s="630">
        <f t="shared" si="7"/>
        <v>185097</v>
      </c>
      <c r="W27" s="630">
        <f t="shared" si="7"/>
        <v>642658</v>
      </c>
      <c r="X27" s="630">
        <f t="shared" si="7"/>
        <v>2458955</v>
      </c>
      <c r="Y27" s="630">
        <f t="shared" si="7"/>
        <v>7687092</v>
      </c>
      <c r="Z27" s="630">
        <f t="shared" si="7"/>
        <v>18570</v>
      </c>
      <c r="AA27" s="630">
        <f t="shared" si="7"/>
        <v>73034</v>
      </c>
      <c r="AB27" s="630">
        <f>SUM(AB14:AB26)</f>
        <v>45189</v>
      </c>
      <c r="AC27" s="630">
        <f t="shared" si="7"/>
        <v>1736605</v>
      </c>
      <c r="AD27" s="630">
        <f t="shared" si="7"/>
        <v>128062</v>
      </c>
      <c r="AE27" s="630">
        <f t="shared" si="7"/>
        <v>224720</v>
      </c>
      <c r="AF27" s="630">
        <f>SUM(AF14:AF26)</f>
        <v>-66483</v>
      </c>
      <c r="AG27" s="630">
        <f>SUM(AG14:AG26)</f>
        <v>359604</v>
      </c>
      <c r="AH27" s="630">
        <f aca="true" t="shared" si="8" ref="AH27:AU27">SUM(AH14:AH25)</f>
        <v>9745</v>
      </c>
      <c r="AI27" s="708">
        <f t="shared" si="8"/>
        <v>554850</v>
      </c>
      <c r="AJ27" s="630">
        <f t="shared" si="8"/>
        <v>82019</v>
      </c>
      <c r="AK27" s="630">
        <f t="shared" si="8"/>
        <v>767708</v>
      </c>
      <c r="AL27" s="630">
        <f t="shared" si="8"/>
        <v>0</v>
      </c>
      <c r="AM27" s="708">
        <f t="shared" si="8"/>
        <v>0</v>
      </c>
      <c r="AN27" s="630">
        <f>SUM(AN14:AN26)</f>
        <v>514272</v>
      </c>
      <c r="AO27" s="630">
        <f>SUM(AO14:AO26)</f>
        <v>1426618</v>
      </c>
      <c r="AP27" s="631">
        <f t="shared" si="8"/>
        <v>19572</v>
      </c>
      <c r="AQ27" s="631">
        <f t="shared" si="8"/>
        <v>71706</v>
      </c>
      <c r="AR27" s="630">
        <f t="shared" si="8"/>
        <v>116513</v>
      </c>
      <c r="AS27" s="630">
        <f t="shared" si="8"/>
        <v>666988</v>
      </c>
      <c r="AT27" s="630">
        <f t="shared" si="8"/>
        <v>479099</v>
      </c>
      <c r="AU27" s="630">
        <f t="shared" si="8"/>
        <v>1957749</v>
      </c>
      <c r="AV27" s="630">
        <f aca="true" t="shared" si="9" ref="AV27:AW29">SUM(B27+D27+F27+H27+J27+L27+N27+P27+R27+T27+V27+X27+Z27+AB27+AD27+AF27+AH27+AJ27+AL27+AN27+AP27+AR27+AT27)</f>
        <v>7633200</v>
      </c>
      <c r="AW27" s="630">
        <f t="shared" si="9"/>
        <v>30280131</v>
      </c>
      <c r="AX27" s="630">
        <f>SUM(AX14:AX25)</f>
        <v>1138</v>
      </c>
      <c r="AY27" s="630">
        <f>SUM(AY14:AY25)</f>
        <v>3334</v>
      </c>
      <c r="AZ27" s="630">
        <f aca="true" t="shared" si="10" ref="AZ27:BA29">AV27+AX27</f>
        <v>7634338</v>
      </c>
      <c r="BA27" s="631">
        <f t="shared" si="10"/>
        <v>30283465</v>
      </c>
    </row>
    <row r="28" spans="1:53" ht="14.25">
      <c r="A28" s="585" t="s">
        <v>95</v>
      </c>
      <c r="B28" s="39">
        <v>276529</v>
      </c>
      <c r="C28" s="734">
        <v>821957</v>
      </c>
      <c r="D28" s="11">
        <v>-257326</v>
      </c>
      <c r="E28" s="686">
        <v>-721345</v>
      </c>
      <c r="F28" s="11">
        <v>22043</v>
      </c>
      <c r="G28" s="686">
        <v>95716</v>
      </c>
      <c r="H28" s="11">
        <v>1627731</v>
      </c>
      <c r="I28" s="517">
        <v>4812910</v>
      </c>
      <c r="J28" s="11">
        <v>-426882</v>
      </c>
      <c r="K28" s="517">
        <v>11086421</v>
      </c>
      <c r="L28" s="11">
        <v>186172</v>
      </c>
      <c r="M28" s="686">
        <v>196789</v>
      </c>
      <c r="N28" s="11">
        <v>-7036</v>
      </c>
      <c r="O28" s="517">
        <v>-1418932</v>
      </c>
      <c r="P28" s="11">
        <v>-665765</v>
      </c>
      <c r="Q28" s="517">
        <v>-2023865</v>
      </c>
      <c r="R28" s="11">
        <v>-547718</v>
      </c>
      <c r="S28" s="686">
        <v>-1149229</v>
      </c>
      <c r="T28" s="11">
        <v>-127967</v>
      </c>
      <c r="U28" s="686">
        <v>-576700</v>
      </c>
      <c r="V28" s="11">
        <v>2336158</v>
      </c>
      <c r="W28" s="517">
        <v>10272649</v>
      </c>
      <c r="X28" s="11">
        <v>3030667</v>
      </c>
      <c r="Y28" s="724">
        <v>8960798</v>
      </c>
      <c r="Z28" s="40">
        <v>110467</v>
      </c>
      <c r="AA28" s="720">
        <v>291428</v>
      </c>
      <c r="AB28" s="11">
        <v>374857</v>
      </c>
      <c r="AC28" s="517">
        <v>-1009447</v>
      </c>
      <c r="AD28" s="11">
        <v>412930</v>
      </c>
      <c r="AE28" s="686">
        <v>1326870</v>
      </c>
      <c r="AF28" s="11">
        <v>1833130</v>
      </c>
      <c r="AG28" s="517">
        <v>3531287</v>
      </c>
      <c r="AH28" s="11">
        <v>292134</v>
      </c>
      <c r="AI28" s="686">
        <v>472903</v>
      </c>
      <c r="AJ28" s="11">
        <v>97367</v>
      </c>
      <c r="AK28" s="686">
        <v>254225</v>
      </c>
      <c r="AL28" s="711"/>
      <c r="AM28" s="686"/>
      <c r="AN28" s="227">
        <v>3949114</v>
      </c>
      <c r="AO28" s="700">
        <v>8919653</v>
      </c>
      <c r="AP28" s="703">
        <v>85246</v>
      </c>
      <c r="AQ28" s="294">
        <v>85091</v>
      </c>
      <c r="AR28" s="170">
        <v>226572</v>
      </c>
      <c r="AS28" s="517">
        <v>329487</v>
      </c>
      <c r="AT28" s="11">
        <v>-117163</v>
      </c>
      <c r="AU28" s="686">
        <v>-685187</v>
      </c>
      <c r="AV28" s="8">
        <f t="shared" si="9"/>
        <v>12711260</v>
      </c>
      <c r="AW28" s="8">
        <f t="shared" si="9"/>
        <v>43873479</v>
      </c>
      <c r="AX28" s="170">
        <v>210866</v>
      </c>
      <c r="AY28" s="16">
        <v>318912</v>
      </c>
      <c r="AZ28" s="8">
        <f t="shared" si="10"/>
        <v>12922126</v>
      </c>
      <c r="BA28" s="685">
        <f t="shared" si="10"/>
        <v>44192391</v>
      </c>
    </row>
    <row r="29" spans="1:53" ht="14.25">
      <c r="A29" s="585" t="s">
        <v>96</v>
      </c>
      <c r="B29" s="39"/>
      <c r="C29" s="734"/>
      <c r="D29" s="11"/>
      <c r="E29" s="686"/>
      <c r="F29" s="11"/>
      <c r="G29" s="686"/>
      <c r="H29" s="11"/>
      <c r="I29" s="517"/>
      <c r="J29" s="11"/>
      <c r="K29" s="517"/>
      <c r="L29" s="11"/>
      <c r="M29" s="686"/>
      <c r="N29" s="11"/>
      <c r="O29" s="517"/>
      <c r="P29" s="11"/>
      <c r="Q29" s="517"/>
      <c r="R29" s="11"/>
      <c r="S29" s="686"/>
      <c r="T29" s="11"/>
      <c r="U29" s="686"/>
      <c r="V29" s="11">
        <v>133736</v>
      </c>
      <c r="W29" s="517">
        <v>437184</v>
      </c>
      <c r="X29" s="11"/>
      <c r="Y29" s="724"/>
      <c r="Z29" s="40">
        <v>15084</v>
      </c>
      <c r="AA29" s="720">
        <v>39410</v>
      </c>
      <c r="AB29" s="11"/>
      <c r="AC29" s="517"/>
      <c r="AD29" s="11"/>
      <c r="AE29" s="686"/>
      <c r="AF29" s="11">
        <v>289961</v>
      </c>
      <c r="AG29" s="517">
        <v>449651</v>
      </c>
      <c r="AH29" s="11">
        <v>16710</v>
      </c>
      <c r="AI29" s="686">
        <v>30787</v>
      </c>
      <c r="AJ29" s="11"/>
      <c r="AK29" s="686"/>
      <c r="AL29" s="711"/>
      <c r="AM29" s="686"/>
      <c r="AN29" s="226"/>
      <c r="AO29" s="700"/>
      <c r="AP29" s="703"/>
      <c r="AQ29" s="294"/>
      <c r="AR29" s="170"/>
      <c r="AS29" s="517"/>
      <c r="AT29" s="11">
        <v>-52737</v>
      </c>
      <c r="AU29" s="686">
        <v>-155588</v>
      </c>
      <c r="AV29" s="8">
        <f t="shared" si="9"/>
        <v>402754</v>
      </c>
      <c r="AW29" s="8">
        <f t="shared" si="9"/>
        <v>801444</v>
      </c>
      <c r="AX29" s="170">
        <v>73844</v>
      </c>
      <c r="AY29" s="16">
        <v>111600</v>
      </c>
      <c r="AZ29" s="8">
        <f t="shared" si="10"/>
        <v>476598</v>
      </c>
      <c r="BA29" s="685">
        <f t="shared" si="10"/>
        <v>913044</v>
      </c>
    </row>
    <row r="30" spans="1:53" ht="14.25">
      <c r="A30" s="585" t="s">
        <v>237</v>
      </c>
      <c r="B30" s="39"/>
      <c r="C30" s="734"/>
      <c r="D30" s="11"/>
      <c r="E30" s="686"/>
      <c r="F30" s="11"/>
      <c r="G30" s="686"/>
      <c r="H30" s="11">
        <v>199798</v>
      </c>
      <c r="I30" s="517">
        <v>694835</v>
      </c>
      <c r="J30" s="11"/>
      <c r="K30" s="517"/>
      <c r="L30" s="11"/>
      <c r="M30" s="686"/>
      <c r="N30" s="11"/>
      <c r="O30" s="517"/>
      <c r="P30" s="11"/>
      <c r="Q30" s="517"/>
      <c r="R30" s="11"/>
      <c r="S30" s="686"/>
      <c r="T30" s="11"/>
      <c r="U30" s="686"/>
      <c r="V30" s="11"/>
      <c r="W30" s="517"/>
      <c r="X30" s="11">
        <v>-12958</v>
      </c>
      <c r="Y30" s="724">
        <v>-78292</v>
      </c>
      <c r="Z30" s="40"/>
      <c r="AA30" s="720"/>
      <c r="AB30" s="11"/>
      <c r="AC30" s="517"/>
      <c r="AD30" s="11">
        <v>72352</v>
      </c>
      <c r="AE30" s="686">
        <v>221107</v>
      </c>
      <c r="AF30" s="11"/>
      <c r="AG30" s="517"/>
      <c r="AH30" s="11"/>
      <c r="AI30" s="686"/>
      <c r="AJ30" s="11"/>
      <c r="AK30" s="686"/>
      <c r="AL30" s="711"/>
      <c r="AM30" s="686"/>
      <c r="AN30" s="226"/>
      <c r="AO30" s="700"/>
      <c r="AP30" s="703">
        <v>12339</v>
      </c>
      <c r="AQ30" s="294">
        <v>12389</v>
      </c>
      <c r="AR30" s="170"/>
      <c r="AS30" s="517"/>
      <c r="AT30" s="11"/>
      <c r="AU30" s="686"/>
      <c r="AV30" s="8"/>
      <c r="AW30" s="8"/>
      <c r="AX30" s="170"/>
      <c r="AY30" s="16"/>
      <c r="AZ30" s="8"/>
      <c r="BA30" s="685"/>
    </row>
    <row r="31" spans="1:53" ht="14.25">
      <c r="A31" s="585" t="s">
        <v>97</v>
      </c>
      <c r="B31" s="39"/>
      <c r="C31" s="734"/>
      <c r="D31" s="11"/>
      <c r="E31" s="686"/>
      <c r="F31" s="11"/>
      <c r="G31" s="686"/>
      <c r="H31" s="11"/>
      <c r="I31" s="517"/>
      <c r="J31" s="11"/>
      <c r="K31" s="517"/>
      <c r="L31" s="11"/>
      <c r="M31" s="686"/>
      <c r="N31" s="11"/>
      <c r="O31" s="517"/>
      <c r="P31" s="11"/>
      <c r="Q31" s="517"/>
      <c r="R31" s="11">
        <v>-13493</v>
      </c>
      <c r="S31" s="686">
        <v>-40478</v>
      </c>
      <c r="T31" s="11"/>
      <c r="U31" s="686"/>
      <c r="V31" s="11"/>
      <c r="W31" s="517"/>
      <c r="X31" s="11"/>
      <c r="Y31" s="724">
        <v>-20</v>
      </c>
      <c r="Z31" s="40"/>
      <c r="AA31" s="720"/>
      <c r="AB31" s="11"/>
      <c r="AC31" s="517"/>
      <c r="AD31" s="11"/>
      <c r="AE31" s="686"/>
      <c r="AF31" s="11"/>
      <c r="AG31" s="517"/>
      <c r="AH31" s="11"/>
      <c r="AI31" s="686"/>
      <c r="AJ31" s="11"/>
      <c r="AK31" s="686"/>
      <c r="AL31" s="711"/>
      <c r="AM31" s="686"/>
      <c r="AN31" s="226"/>
      <c r="AO31" s="700"/>
      <c r="AP31" s="703"/>
      <c r="AQ31" s="294"/>
      <c r="AR31" s="170"/>
      <c r="AS31" s="517"/>
      <c r="AT31" s="11"/>
      <c r="AU31" s="686"/>
      <c r="AV31" s="8">
        <f aca="true" t="shared" si="11" ref="AV31:AV39">SUM(B31+D31+F31+H31+J31+L31+N31+P31+R31+T31+V31+X31+Z31+AB31+AD31+AF31+AH31+AJ31+AL31+AN31+AP31+AR31+AT31)</f>
        <v>-13493</v>
      </c>
      <c r="AW31" s="8">
        <f aca="true" t="shared" si="12" ref="AW31:AW39">SUM(C31+E31+G31+I31+K31+M31+O31+Q31+S31+U31+W31+Y31+AA31+AC31+AE31+AG31+AI31+AK31+AM31+AO31+AQ31+AS31+AU31)</f>
        <v>-40498</v>
      </c>
      <c r="AX31" s="170"/>
      <c r="AY31" s="16"/>
      <c r="AZ31" s="8">
        <f aca="true" t="shared" si="13" ref="AZ31:AZ39">AV31+AX31</f>
        <v>-13493</v>
      </c>
      <c r="BA31" s="685">
        <f aca="true" t="shared" si="14" ref="BA31:BA39">AW31+AY31</f>
        <v>-40498</v>
      </c>
    </row>
    <row r="32" spans="1:53" ht="14.25">
      <c r="A32" s="585" t="s">
        <v>98</v>
      </c>
      <c r="B32" s="11"/>
      <c r="C32" s="734"/>
      <c r="D32" s="11"/>
      <c r="E32" s="686"/>
      <c r="F32" s="11"/>
      <c r="G32" s="686"/>
      <c r="H32" s="11"/>
      <c r="I32" s="517"/>
      <c r="J32" s="11"/>
      <c r="K32" s="517"/>
      <c r="L32" s="11"/>
      <c r="M32" s="686"/>
      <c r="N32" s="11"/>
      <c r="O32" s="517"/>
      <c r="P32" s="11"/>
      <c r="Q32" s="517"/>
      <c r="R32" s="11"/>
      <c r="S32" s="686"/>
      <c r="T32" s="11"/>
      <c r="U32" s="686"/>
      <c r="V32" s="11"/>
      <c r="W32" s="517"/>
      <c r="X32" s="11"/>
      <c r="Y32" s="724"/>
      <c r="Z32" s="40"/>
      <c r="AA32" s="720"/>
      <c r="AB32" s="11"/>
      <c r="AC32" s="517"/>
      <c r="AD32" s="11"/>
      <c r="AE32" s="686"/>
      <c r="AF32" s="11"/>
      <c r="AG32" s="517"/>
      <c r="AH32" s="11"/>
      <c r="AI32" s="686"/>
      <c r="AJ32" s="11"/>
      <c r="AK32" s="686"/>
      <c r="AL32" s="711"/>
      <c r="AM32" s="686"/>
      <c r="AN32" s="227">
        <v>51355</v>
      </c>
      <c r="AO32" s="700">
        <v>4436</v>
      </c>
      <c r="AP32" s="703"/>
      <c r="AQ32" s="294"/>
      <c r="AR32" s="170"/>
      <c r="AS32" s="517"/>
      <c r="AT32" s="11"/>
      <c r="AU32" s="686"/>
      <c r="AV32" s="8">
        <f t="shared" si="11"/>
        <v>51355</v>
      </c>
      <c r="AW32" s="8">
        <f t="shared" si="12"/>
        <v>4436</v>
      </c>
      <c r="AX32" s="170"/>
      <c r="AY32" s="16"/>
      <c r="AZ32" s="8">
        <f t="shared" si="13"/>
        <v>51355</v>
      </c>
      <c r="BA32" s="685">
        <f t="shared" si="14"/>
        <v>4436</v>
      </c>
    </row>
    <row r="33" spans="1:53" ht="14.25">
      <c r="A33" s="585" t="s">
        <v>99</v>
      </c>
      <c r="B33" s="39">
        <v>276529</v>
      </c>
      <c r="C33" s="734">
        <v>821957</v>
      </c>
      <c r="D33" s="11">
        <v>-257326</v>
      </c>
      <c r="E33" s="686">
        <v>-721345</v>
      </c>
      <c r="F33" s="11">
        <v>22043</v>
      </c>
      <c r="G33" s="686">
        <v>95716</v>
      </c>
      <c r="H33" s="11">
        <v>1427933</v>
      </c>
      <c r="I33" s="517">
        <v>4118075</v>
      </c>
      <c r="J33" s="11">
        <v>-426882</v>
      </c>
      <c r="K33" s="517">
        <v>-1086421</v>
      </c>
      <c r="L33" s="11">
        <v>186172</v>
      </c>
      <c r="M33" s="686">
        <v>196789</v>
      </c>
      <c r="N33" s="11">
        <v>-7036</v>
      </c>
      <c r="O33" s="517">
        <v>-1418932</v>
      </c>
      <c r="P33" s="11"/>
      <c r="Q33" s="517"/>
      <c r="R33" s="11">
        <v>-561211</v>
      </c>
      <c r="S33" s="686">
        <v>-1189707</v>
      </c>
      <c r="T33" s="11">
        <v>-127967</v>
      </c>
      <c r="U33" s="686">
        <v>-576700</v>
      </c>
      <c r="V33" s="11">
        <v>2502422</v>
      </c>
      <c r="W33" s="517">
        <v>9835465</v>
      </c>
      <c r="X33" s="11">
        <v>3017709</v>
      </c>
      <c r="Y33" s="724">
        <v>8882486</v>
      </c>
      <c r="Z33" s="40">
        <v>110467</v>
      </c>
      <c r="AA33" s="720">
        <v>291428</v>
      </c>
      <c r="AB33" s="11">
        <v>374857</v>
      </c>
      <c r="AC33" s="517">
        <v>-1009447</v>
      </c>
      <c r="AD33" s="11">
        <v>340578</v>
      </c>
      <c r="AE33" s="686">
        <v>1105763</v>
      </c>
      <c r="AF33" s="11">
        <v>1543169</v>
      </c>
      <c r="AG33" s="517">
        <v>3081636</v>
      </c>
      <c r="AH33" s="11">
        <v>275424</v>
      </c>
      <c r="AI33" s="686">
        <v>442116</v>
      </c>
      <c r="AJ33" s="11">
        <v>97367</v>
      </c>
      <c r="AK33" s="686">
        <v>254225</v>
      </c>
      <c r="AL33" s="711"/>
      <c r="AM33" s="686"/>
      <c r="AN33" s="227">
        <v>3897759</v>
      </c>
      <c r="AO33" s="700">
        <v>8915218</v>
      </c>
      <c r="AP33" s="703">
        <v>72907</v>
      </c>
      <c r="AQ33" s="294">
        <v>72701</v>
      </c>
      <c r="AR33" s="170">
        <v>226572</v>
      </c>
      <c r="AS33" s="517">
        <v>329487</v>
      </c>
      <c r="AT33" s="11">
        <v>-169900</v>
      </c>
      <c r="AU33" s="686">
        <v>-840775</v>
      </c>
      <c r="AV33" s="8">
        <f t="shared" si="11"/>
        <v>12821586</v>
      </c>
      <c r="AW33" s="8">
        <f t="shared" si="12"/>
        <v>31599735</v>
      </c>
      <c r="AX33" s="170">
        <v>137022</v>
      </c>
      <c r="AY33" s="16">
        <v>207312</v>
      </c>
      <c r="AZ33" s="8">
        <f t="shared" si="13"/>
        <v>12958608</v>
      </c>
      <c r="BA33" s="685">
        <f t="shared" si="14"/>
        <v>31807047</v>
      </c>
    </row>
    <row r="34" spans="1:53" ht="14.25">
      <c r="A34" s="586" t="s">
        <v>100</v>
      </c>
      <c r="B34" s="8"/>
      <c r="C34" s="734"/>
      <c r="D34" s="18"/>
      <c r="E34" s="686"/>
      <c r="F34" s="18"/>
      <c r="G34" s="686"/>
      <c r="H34" s="18"/>
      <c r="I34" s="517"/>
      <c r="J34" s="18"/>
      <c r="K34" s="517"/>
      <c r="L34" s="18"/>
      <c r="M34" s="686"/>
      <c r="N34" s="18"/>
      <c r="O34" s="517"/>
      <c r="P34" s="243"/>
      <c r="Q34" s="517"/>
      <c r="R34" s="18"/>
      <c r="S34" s="686"/>
      <c r="T34" s="18"/>
      <c r="U34" s="686"/>
      <c r="V34" s="18"/>
      <c r="W34" s="517"/>
      <c r="X34" s="18"/>
      <c r="Y34" s="724"/>
      <c r="Z34" s="40"/>
      <c r="AA34" s="720"/>
      <c r="AB34" s="18"/>
      <c r="AC34" s="517"/>
      <c r="AD34" s="717"/>
      <c r="AE34" s="686"/>
      <c r="AF34" s="18"/>
      <c r="AG34" s="517"/>
      <c r="AH34" s="18"/>
      <c r="AI34" s="608"/>
      <c r="AJ34" s="18"/>
      <c r="AK34" s="686"/>
      <c r="AL34" s="711"/>
      <c r="AM34" s="686"/>
      <c r="AN34" s="226"/>
      <c r="AO34" s="700"/>
      <c r="AP34" s="703"/>
      <c r="AQ34" s="294"/>
      <c r="AR34" s="170"/>
      <c r="AS34" s="517"/>
      <c r="AT34" s="18"/>
      <c r="AU34" s="686"/>
      <c r="AV34" s="8">
        <f t="shared" si="11"/>
        <v>0</v>
      </c>
      <c r="AW34" s="8">
        <f t="shared" si="12"/>
        <v>0</v>
      </c>
      <c r="AX34" s="18"/>
      <c r="AY34" s="16"/>
      <c r="AZ34" s="8">
        <f t="shared" si="13"/>
        <v>0</v>
      </c>
      <c r="BA34" s="685">
        <f t="shared" si="14"/>
        <v>0</v>
      </c>
    </row>
    <row r="35" spans="1:53" ht="28.5">
      <c r="A35" s="585" t="s">
        <v>101</v>
      </c>
      <c r="B35" s="39">
        <v>-584204</v>
      </c>
      <c r="C35" s="734">
        <v>-1129634</v>
      </c>
      <c r="D35" s="11">
        <v>-5834761</v>
      </c>
      <c r="E35" s="686">
        <v>-5370742</v>
      </c>
      <c r="F35" s="11">
        <v>-12973568</v>
      </c>
      <c r="G35" s="686">
        <v>-12973568</v>
      </c>
      <c r="H35" s="11">
        <v>84811960</v>
      </c>
      <c r="I35" s="517">
        <v>83393632</v>
      </c>
      <c r="J35" s="11">
        <v>-25587760</v>
      </c>
      <c r="K35" s="517">
        <v>-24928221</v>
      </c>
      <c r="L35" s="11">
        <v>64825</v>
      </c>
      <c r="M35" s="686">
        <v>54208</v>
      </c>
      <c r="N35" s="11"/>
      <c r="O35" s="517">
        <v>-1628700</v>
      </c>
      <c r="P35" s="18">
        <v>-11812327</v>
      </c>
      <c r="Q35" s="517">
        <v>-11081436</v>
      </c>
      <c r="R35" s="11">
        <v>-7886965</v>
      </c>
      <c r="S35" s="686">
        <v>-7258469</v>
      </c>
      <c r="T35" s="11">
        <v>-17082096</v>
      </c>
      <c r="U35" s="686">
        <v>-16633363</v>
      </c>
      <c r="V35" s="11">
        <v>40073306</v>
      </c>
      <c r="W35" s="517">
        <v>32740263</v>
      </c>
      <c r="X35" s="11">
        <v>23071610</v>
      </c>
      <c r="Y35" s="724">
        <v>19842696</v>
      </c>
      <c r="Z35" s="170">
        <v>342733</v>
      </c>
      <c r="AA35" s="720">
        <v>1126214</v>
      </c>
      <c r="AB35" s="11">
        <v>258592</v>
      </c>
      <c r="AC35" s="517">
        <v>-1018662</v>
      </c>
      <c r="AD35" s="11"/>
      <c r="AE35" s="686">
        <v>21830354</v>
      </c>
      <c r="AF35" s="11"/>
      <c r="AG35" s="517">
        <v>7538521</v>
      </c>
      <c r="AH35" s="11">
        <v>-7778657</v>
      </c>
      <c r="AI35" s="686">
        <v>-7945350</v>
      </c>
      <c r="AJ35" s="11">
        <v>-2167232</v>
      </c>
      <c r="AK35" s="686">
        <v>-2324090</v>
      </c>
      <c r="AL35" s="711"/>
      <c r="AM35" s="686"/>
      <c r="AN35" s="227">
        <v>69618897</v>
      </c>
      <c r="AO35" s="700">
        <v>64601438</v>
      </c>
      <c r="AP35" s="703">
        <v>4463674</v>
      </c>
      <c r="AQ35" s="294">
        <v>4463880</v>
      </c>
      <c r="AR35" s="170">
        <v>790114</v>
      </c>
      <c r="AS35" s="517">
        <v>726224</v>
      </c>
      <c r="AT35" s="11">
        <v>230111</v>
      </c>
      <c r="AU35" s="686">
        <v>900986</v>
      </c>
      <c r="AV35" s="8">
        <f t="shared" si="11"/>
        <v>132018252</v>
      </c>
      <c r="AW35" s="8">
        <f t="shared" si="12"/>
        <v>144926181</v>
      </c>
      <c r="AX35" s="11"/>
      <c r="AY35" s="16"/>
      <c r="AZ35" s="8">
        <f t="shared" si="13"/>
        <v>132018252</v>
      </c>
      <c r="BA35" s="685">
        <f t="shared" si="14"/>
        <v>144926181</v>
      </c>
    </row>
    <row r="36" spans="1:53" ht="28.5">
      <c r="A36" s="585" t="s">
        <v>102</v>
      </c>
      <c r="B36" s="39"/>
      <c r="C36" s="734"/>
      <c r="D36" s="11"/>
      <c r="E36" s="686"/>
      <c r="F36" s="11"/>
      <c r="G36" s="686"/>
      <c r="H36" s="11"/>
      <c r="I36" s="517"/>
      <c r="J36" s="11"/>
      <c r="K36" s="517"/>
      <c r="L36" s="11"/>
      <c r="M36" s="686"/>
      <c r="N36" s="11"/>
      <c r="O36" s="517"/>
      <c r="P36" s="11"/>
      <c r="Q36" s="517"/>
      <c r="R36" s="11"/>
      <c r="S36" s="686"/>
      <c r="T36" s="11"/>
      <c r="U36" s="686"/>
      <c r="V36" s="11"/>
      <c r="W36" s="517"/>
      <c r="X36" s="11">
        <v>1148672</v>
      </c>
      <c r="Y36" s="724">
        <v>1148672</v>
      </c>
      <c r="Z36" s="170"/>
      <c r="AA36" s="720"/>
      <c r="AB36" s="11"/>
      <c r="AC36" s="517"/>
      <c r="AD36" s="11"/>
      <c r="AE36" s="686"/>
      <c r="AF36" s="11"/>
      <c r="AG36" s="517">
        <v>709961</v>
      </c>
      <c r="AH36" s="11"/>
      <c r="AI36" s="686"/>
      <c r="AJ36" s="11"/>
      <c r="AK36" s="686"/>
      <c r="AL36" s="711"/>
      <c r="AM36" s="686"/>
      <c r="AN36" s="228"/>
      <c r="AO36" s="700"/>
      <c r="AP36" s="703">
        <v>57400</v>
      </c>
      <c r="AQ36" s="294">
        <v>57400</v>
      </c>
      <c r="AR36" s="170"/>
      <c r="AS36" s="517"/>
      <c r="AT36" s="11"/>
      <c r="AU36" s="686"/>
      <c r="AV36" s="8">
        <f t="shared" si="11"/>
        <v>1206072</v>
      </c>
      <c r="AW36" s="8">
        <f t="shared" si="12"/>
        <v>1916033</v>
      </c>
      <c r="AX36" s="11"/>
      <c r="AY36" s="16"/>
      <c r="AZ36" s="8">
        <f t="shared" si="13"/>
        <v>1206072</v>
      </c>
      <c r="BA36" s="685">
        <f t="shared" si="14"/>
        <v>1916033</v>
      </c>
    </row>
    <row r="37" spans="1:53" ht="28.5">
      <c r="A37" s="587" t="s">
        <v>103</v>
      </c>
      <c r="B37" s="39"/>
      <c r="C37" s="168"/>
      <c r="D37" s="11"/>
      <c r="E37" s="686"/>
      <c r="F37" s="11"/>
      <c r="G37" s="686"/>
      <c r="H37" s="11"/>
      <c r="I37" s="517">
        <v>1054963</v>
      </c>
      <c r="J37" s="11"/>
      <c r="K37" s="517"/>
      <c r="L37" s="11"/>
      <c r="M37" s="686"/>
      <c r="N37" s="11"/>
      <c r="O37" s="517"/>
      <c r="P37" s="11"/>
      <c r="Q37" s="517"/>
      <c r="R37" s="11"/>
      <c r="S37" s="686"/>
      <c r="T37" s="11"/>
      <c r="U37" s="686"/>
      <c r="V37" s="11"/>
      <c r="W37" s="517"/>
      <c r="X37" s="11"/>
      <c r="Y37" s="724">
        <v>2225551</v>
      </c>
      <c r="Z37" s="170"/>
      <c r="AA37" s="720">
        <v>-800000</v>
      </c>
      <c r="AB37" s="11"/>
      <c r="AC37" s="517">
        <v>-112500</v>
      </c>
      <c r="AD37" s="11"/>
      <c r="AE37" s="686"/>
      <c r="AF37" s="11"/>
      <c r="AG37" s="517">
        <v>2647962</v>
      </c>
      <c r="AH37" s="11"/>
      <c r="AI37" s="686"/>
      <c r="AJ37" s="11"/>
      <c r="AK37" s="686"/>
      <c r="AL37" s="711"/>
      <c r="AM37" s="686"/>
      <c r="AN37" s="228"/>
      <c r="AO37" s="700"/>
      <c r="AP37" s="703"/>
      <c r="AQ37" s="294"/>
      <c r="AR37" s="170"/>
      <c r="AS37" s="517">
        <v>32371</v>
      </c>
      <c r="AT37" s="11"/>
      <c r="AU37" s="686"/>
      <c r="AV37" s="8">
        <f t="shared" si="11"/>
        <v>0</v>
      </c>
      <c r="AW37" s="8">
        <f t="shared" si="12"/>
        <v>5048347</v>
      </c>
      <c r="AX37" s="11"/>
      <c r="AY37" s="16"/>
      <c r="AZ37" s="8">
        <f t="shared" si="13"/>
        <v>0</v>
      </c>
      <c r="BA37" s="685">
        <f t="shared" si="14"/>
        <v>5048347</v>
      </c>
    </row>
    <row r="38" spans="1:53" ht="14.25">
      <c r="A38" s="585" t="s">
        <v>104</v>
      </c>
      <c r="B38" s="39"/>
      <c r="C38" s="168"/>
      <c r="D38" s="11"/>
      <c r="E38" s="686"/>
      <c r="F38" s="11"/>
      <c r="G38" s="686"/>
      <c r="H38" s="11"/>
      <c r="I38" s="517">
        <v>216851</v>
      </c>
      <c r="J38" s="11"/>
      <c r="K38" s="517"/>
      <c r="L38" s="11"/>
      <c r="M38" s="686"/>
      <c r="N38" s="11"/>
      <c r="O38" s="517"/>
      <c r="P38" s="11"/>
      <c r="Q38" s="517"/>
      <c r="R38" s="11"/>
      <c r="S38" s="686"/>
      <c r="T38" s="11"/>
      <c r="U38" s="686"/>
      <c r="V38" s="11"/>
      <c r="W38" s="517"/>
      <c r="X38" s="11">
        <v>236112</v>
      </c>
      <c r="Y38" s="724">
        <v>693581</v>
      </c>
      <c r="Z38" s="170"/>
      <c r="AA38" s="720">
        <v>-164442</v>
      </c>
      <c r="AB38" s="11"/>
      <c r="AC38" s="517">
        <v>-23124</v>
      </c>
      <c r="AD38" s="11"/>
      <c r="AE38" s="686"/>
      <c r="AF38" s="11"/>
      <c r="AG38" s="517">
        <v>690231</v>
      </c>
      <c r="AH38" s="11"/>
      <c r="AI38" s="686"/>
      <c r="AJ38" s="11"/>
      <c r="AK38" s="686"/>
      <c r="AL38" s="711"/>
      <c r="AM38" s="686"/>
      <c r="AN38" s="228"/>
      <c r="AO38" s="700"/>
      <c r="AP38" s="703">
        <v>11799</v>
      </c>
      <c r="AQ38" s="294">
        <v>11799</v>
      </c>
      <c r="AR38" s="170"/>
      <c r="AS38" s="517">
        <v>6654</v>
      </c>
      <c r="AT38" s="11"/>
      <c r="AU38" s="686"/>
      <c r="AV38" s="8">
        <f t="shared" si="11"/>
        <v>247911</v>
      </c>
      <c r="AW38" s="8">
        <f t="shared" si="12"/>
        <v>1431550</v>
      </c>
      <c r="AX38" s="11"/>
      <c r="AY38" s="16"/>
      <c r="AZ38" s="8">
        <f t="shared" si="13"/>
        <v>247911</v>
      </c>
      <c r="BA38" s="685">
        <f t="shared" si="14"/>
        <v>1431550</v>
      </c>
    </row>
    <row r="39" spans="1:53" ht="28.5">
      <c r="A39" s="585" t="s">
        <v>105</v>
      </c>
      <c r="B39" s="8"/>
      <c r="C39" s="734"/>
      <c r="D39" s="18"/>
      <c r="E39" s="686"/>
      <c r="F39" s="18"/>
      <c r="G39" s="686"/>
      <c r="H39" s="18"/>
      <c r="I39" s="517"/>
      <c r="J39" s="18">
        <v>525</v>
      </c>
      <c r="K39" s="517">
        <v>525</v>
      </c>
      <c r="L39" s="18"/>
      <c r="M39" s="686"/>
      <c r="N39" s="18"/>
      <c r="O39" s="517"/>
      <c r="P39" s="18"/>
      <c r="Q39" s="517"/>
      <c r="R39" s="18"/>
      <c r="S39" s="686"/>
      <c r="T39" s="18"/>
      <c r="U39" s="686"/>
      <c r="V39" s="18"/>
      <c r="W39" s="517"/>
      <c r="X39" s="18"/>
      <c r="Y39" s="724"/>
      <c r="Z39" s="40"/>
      <c r="AA39" s="720"/>
      <c r="AB39" s="18"/>
      <c r="AC39" s="517"/>
      <c r="AD39" s="717"/>
      <c r="AE39" s="686"/>
      <c r="AF39" s="18"/>
      <c r="AG39" s="517"/>
      <c r="AH39" s="18"/>
      <c r="AI39" s="714"/>
      <c r="AJ39" s="18"/>
      <c r="AK39" s="686"/>
      <c r="AL39" s="711"/>
      <c r="AM39" s="686"/>
      <c r="AN39" s="228"/>
      <c r="AO39" s="700"/>
      <c r="AP39" s="703"/>
      <c r="AQ39" s="294"/>
      <c r="AR39" s="170"/>
      <c r="AS39" s="517"/>
      <c r="AT39" s="18"/>
      <c r="AU39" s="686"/>
      <c r="AV39" s="8">
        <f t="shared" si="11"/>
        <v>525</v>
      </c>
      <c r="AW39" s="8">
        <f t="shared" si="12"/>
        <v>525</v>
      </c>
      <c r="AX39" s="18">
        <v>137022</v>
      </c>
      <c r="AY39" s="16">
        <v>207312</v>
      </c>
      <c r="AZ39" s="8">
        <f t="shared" si="13"/>
        <v>137547</v>
      </c>
      <c r="BA39" s="685">
        <f t="shared" si="14"/>
        <v>207837</v>
      </c>
    </row>
    <row r="40" spans="1:53" ht="28.5">
      <c r="A40" s="588" t="s">
        <v>214</v>
      </c>
      <c r="B40" s="8"/>
      <c r="C40" s="734"/>
      <c r="D40" s="496"/>
      <c r="E40" s="686"/>
      <c r="F40" s="496"/>
      <c r="G40" s="686"/>
      <c r="H40" s="496"/>
      <c r="I40" s="517"/>
      <c r="J40" s="496"/>
      <c r="K40" s="517"/>
      <c r="L40" s="496"/>
      <c r="M40" s="686"/>
      <c r="N40" s="496"/>
      <c r="O40" s="517"/>
      <c r="P40" s="496"/>
      <c r="Q40" s="517"/>
      <c r="R40" s="496"/>
      <c r="S40" s="686"/>
      <c r="T40" s="496"/>
      <c r="U40" s="686"/>
      <c r="V40" s="496"/>
      <c r="W40" s="517"/>
      <c r="X40" s="496"/>
      <c r="Y40" s="724"/>
      <c r="Z40" s="727"/>
      <c r="AA40" s="720"/>
      <c r="AB40" s="496"/>
      <c r="AC40" s="517"/>
      <c r="AD40" s="718"/>
      <c r="AE40" s="686"/>
      <c r="AF40" s="496"/>
      <c r="AG40" s="517"/>
      <c r="AH40" s="496"/>
      <c r="AI40" s="715"/>
      <c r="AJ40" s="496"/>
      <c r="AK40" s="686"/>
      <c r="AL40" s="712"/>
      <c r="AM40" s="686"/>
      <c r="AN40" s="494"/>
      <c r="AO40" s="700"/>
      <c r="AP40" s="258"/>
      <c r="AQ40" s="294"/>
      <c r="AR40" s="477"/>
      <c r="AS40" s="517"/>
      <c r="AT40" s="496"/>
      <c r="AU40" s="686"/>
      <c r="AV40" s="490"/>
      <c r="AW40" s="490"/>
      <c r="AX40" s="496"/>
      <c r="AY40" s="16"/>
      <c r="AZ40" s="490"/>
      <c r="BA40" s="491"/>
    </row>
    <row r="41" spans="1:53" s="628" customFormat="1" ht="27.75" thickBot="1">
      <c r="A41" s="622" t="s">
        <v>106</v>
      </c>
      <c r="B41" s="623">
        <f aca="true" t="shared" si="15" ref="B41:G41">B33+B35</f>
        <v>-307675</v>
      </c>
      <c r="C41" s="735">
        <f t="shared" si="15"/>
        <v>-307677</v>
      </c>
      <c r="D41" s="626">
        <f t="shared" si="15"/>
        <v>-6092087</v>
      </c>
      <c r="E41" s="687">
        <f>D41</f>
        <v>-6092087</v>
      </c>
      <c r="F41" s="626">
        <f t="shared" si="15"/>
        <v>-12951525</v>
      </c>
      <c r="G41" s="626">
        <f t="shared" si="15"/>
        <v>-12877852</v>
      </c>
      <c r="H41" s="698">
        <v>86239893</v>
      </c>
      <c r="I41" s="698">
        <v>86239893</v>
      </c>
      <c r="J41" s="626">
        <f aca="true" t="shared" si="16" ref="J41:O41">J33+J35</f>
        <v>-26014642</v>
      </c>
      <c r="K41" s="626">
        <f t="shared" si="16"/>
        <v>-26014642</v>
      </c>
      <c r="L41" s="626">
        <f t="shared" si="16"/>
        <v>250997</v>
      </c>
      <c r="M41" s="626">
        <f t="shared" si="16"/>
        <v>250997</v>
      </c>
      <c r="N41" s="626">
        <f t="shared" si="16"/>
        <v>-7036</v>
      </c>
      <c r="O41" s="690">
        <f t="shared" si="16"/>
        <v>-3047632</v>
      </c>
      <c r="P41" s="626">
        <f aca="true" t="shared" si="17" ref="P41:W41">P33+P35</f>
        <v>-11812327</v>
      </c>
      <c r="Q41" s="626">
        <f t="shared" si="17"/>
        <v>-11081436</v>
      </c>
      <c r="R41" s="626">
        <f t="shared" si="17"/>
        <v>-8448176</v>
      </c>
      <c r="S41" s="626">
        <f t="shared" si="17"/>
        <v>-8448176</v>
      </c>
      <c r="T41" s="626">
        <f t="shared" si="17"/>
        <v>-17210063</v>
      </c>
      <c r="U41" s="626">
        <f t="shared" si="17"/>
        <v>-17210063</v>
      </c>
      <c r="V41" s="698">
        <f t="shared" si="17"/>
        <v>42575728</v>
      </c>
      <c r="W41" s="698">
        <f t="shared" si="17"/>
        <v>42575728</v>
      </c>
      <c r="X41" s="698">
        <v>24704535</v>
      </c>
      <c r="Y41" s="698">
        <v>24657378</v>
      </c>
      <c r="Z41" s="698">
        <f>Z33+Z35</f>
        <v>453200</v>
      </c>
      <c r="AA41" s="698">
        <f>SUM(AA33:AA40)</f>
        <v>453200</v>
      </c>
      <c r="AB41" s="1108">
        <v>-2163734.7</v>
      </c>
      <c r="AC41" s="1108">
        <v>-2163734.7</v>
      </c>
      <c r="AD41" s="698">
        <f aca="true" t="shared" si="18" ref="AD41:AK41">AD33+AD35</f>
        <v>340578</v>
      </c>
      <c r="AE41" s="698">
        <f t="shared" si="18"/>
        <v>22936117</v>
      </c>
      <c r="AF41" s="698"/>
      <c r="AG41" s="698">
        <v>6572003</v>
      </c>
      <c r="AH41" s="698">
        <v>-7503234</v>
      </c>
      <c r="AI41" s="698">
        <v>-7503234</v>
      </c>
      <c r="AJ41" s="698">
        <f t="shared" si="18"/>
        <v>-2069865</v>
      </c>
      <c r="AK41" s="698">
        <f t="shared" si="18"/>
        <v>-2069865</v>
      </c>
      <c r="AL41" s="626">
        <f>AL33+AL35</f>
        <v>0</v>
      </c>
      <c r="AM41" s="709">
        <f>AM33+AM35</f>
        <v>0</v>
      </c>
      <c r="AN41" s="698">
        <f>AN33+AN35</f>
        <v>73516656</v>
      </c>
      <c r="AO41" s="698">
        <f>AO33+AO35</f>
        <v>73516656</v>
      </c>
      <c r="AP41" s="704">
        <v>4467383</v>
      </c>
      <c r="AQ41" s="695">
        <v>4467383</v>
      </c>
      <c r="AR41" s="698">
        <v>1016686</v>
      </c>
      <c r="AS41" s="690">
        <v>1016686</v>
      </c>
      <c r="AT41" s="626">
        <v>60211</v>
      </c>
      <c r="AU41" s="687">
        <v>60211</v>
      </c>
      <c r="AV41" s="625">
        <f>SUM(B41+D41+F41+H41+J41+L41+N41+P41+R41+T41+V41+X41+Z41+AB41+AD41+AF41+AH41+AJ41+AL41+AN41+AP41+AR41+AT41)</f>
        <v>139045502.3</v>
      </c>
      <c r="AW41" s="625">
        <f>SUM(C41+E41+G41+I41+K41+M41+O41+Q41+S41+U41+W41+Y41+AA41+AC41+AE41+AG41+AI41+AK41+AM41+AO41+AQ41+AS41+AU41)</f>
        <v>165929853.3</v>
      </c>
      <c r="AX41" s="626">
        <v>0</v>
      </c>
      <c r="AY41" s="627">
        <f>AX41</f>
        <v>0</v>
      </c>
      <c r="AZ41" s="626">
        <f>AZ33+AZ35</f>
        <v>144976860</v>
      </c>
      <c r="BA41" s="624">
        <f>BA33+BA35</f>
        <v>176733228</v>
      </c>
    </row>
    <row r="42" spans="1:53" s="38" customFormat="1" ht="28.5">
      <c r="A42" s="245" t="s">
        <v>107</v>
      </c>
      <c r="B42" s="592"/>
      <c r="C42" s="592"/>
      <c r="D42" s="248"/>
      <c r="E42" s="688"/>
      <c r="F42" s="248"/>
      <c r="G42" s="726"/>
      <c r="H42" s="248"/>
      <c r="I42" s="688"/>
      <c r="J42" s="248"/>
      <c r="K42" s="688"/>
      <c r="L42" s="248"/>
      <c r="M42" s="688"/>
      <c r="N42" s="248"/>
      <c r="O42" s="688"/>
      <c r="P42" s="733"/>
      <c r="Q42" s="246"/>
      <c r="R42" s="248"/>
      <c r="S42" s="688"/>
      <c r="T42" s="248"/>
      <c r="U42" s="688"/>
      <c r="V42" s="248"/>
      <c r="W42" s="688"/>
      <c r="X42" s="248">
        <v>2.1</v>
      </c>
      <c r="Y42" s="726">
        <v>6.19</v>
      </c>
      <c r="Z42" s="728"/>
      <c r="AA42" s="721"/>
      <c r="AB42" s="248"/>
      <c r="AC42" s="688"/>
      <c r="AD42" s="248"/>
      <c r="AE42" s="688"/>
      <c r="AF42" s="248"/>
      <c r="AG42" s="688"/>
      <c r="AH42" s="248"/>
      <c r="AI42" s="688"/>
      <c r="AJ42" s="248"/>
      <c r="AK42" s="688"/>
      <c r="AL42" s="254"/>
      <c r="AM42" s="688"/>
      <c r="AN42" s="247"/>
      <c r="AO42" s="701"/>
      <c r="AP42" s="705"/>
      <c r="AQ42" s="696"/>
      <c r="AR42" s="699">
        <v>0.87</v>
      </c>
      <c r="AS42" s="691">
        <v>1.27</v>
      </c>
      <c r="AT42" s="248"/>
      <c r="AU42" s="688"/>
      <c r="AV42" s="230"/>
      <c r="AW42" s="231"/>
      <c r="AX42" s="248"/>
      <c r="AY42" s="232"/>
      <c r="AZ42" s="230"/>
      <c r="BA42" s="233"/>
    </row>
    <row r="43" spans="1:53" ht="14.25">
      <c r="A43" s="223" t="s">
        <v>108</v>
      </c>
      <c r="B43" s="39"/>
      <c r="C43" s="169"/>
      <c r="D43" s="11"/>
      <c r="E43" s="686"/>
      <c r="F43" s="11"/>
      <c r="G43" s="686"/>
      <c r="H43" s="11"/>
      <c r="I43" s="686"/>
      <c r="J43" s="11"/>
      <c r="K43" s="686"/>
      <c r="L43" s="11"/>
      <c r="M43" s="686"/>
      <c r="N43" s="11"/>
      <c r="O43" s="686"/>
      <c r="P43" s="11"/>
      <c r="Q43" s="686"/>
      <c r="R43" s="11"/>
      <c r="S43" s="686"/>
      <c r="T43" s="11"/>
      <c r="U43" s="686"/>
      <c r="V43" s="11"/>
      <c r="W43" s="686"/>
      <c r="X43" s="11"/>
      <c r="Y43" s="686"/>
      <c r="Z43" s="40"/>
      <c r="AA43" s="720"/>
      <c r="AB43" s="11"/>
      <c r="AC43" s="686"/>
      <c r="AD43" s="11"/>
      <c r="AE43" s="686"/>
      <c r="AF43" s="11"/>
      <c r="AG43" s="686"/>
      <c r="AH43" s="11"/>
      <c r="AI43" s="686"/>
      <c r="AJ43" s="11"/>
      <c r="AK43" s="686"/>
      <c r="AL43" s="711"/>
      <c r="AM43" s="686"/>
      <c r="AN43" s="226"/>
      <c r="AO43" s="702"/>
      <c r="AP43" s="703"/>
      <c r="AQ43" s="294"/>
      <c r="AR43" s="243"/>
      <c r="AS43" s="229"/>
      <c r="AT43" s="11"/>
      <c r="AU43" s="686"/>
      <c r="AV43" s="18"/>
      <c r="AW43" s="17"/>
      <c r="AX43" s="11"/>
      <c r="AY43" s="10"/>
      <c r="AZ43" s="18"/>
      <c r="BA43" s="14"/>
    </row>
    <row r="44" spans="1:53" ht="14.25">
      <c r="A44" s="224" t="s">
        <v>109</v>
      </c>
      <c r="B44" s="244">
        <v>0.15</v>
      </c>
      <c r="C44" s="173">
        <v>0.43</v>
      </c>
      <c r="D44" s="11"/>
      <c r="E44" s="686"/>
      <c r="F44" s="11"/>
      <c r="G44" s="171">
        <v>0.05</v>
      </c>
      <c r="H44" s="11"/>
      <c r="I44" s="686"/>
      <c r="J44" s="1">
        <v>0.16</v>
      </c>
      <c r="K44" s="171">
        <v>0.42</v>
      </c>
      <c r="L44" s="11"/>
      <c r="M44" s="686"/>
      <c r="N44" s="11"/>
      <c r="O44" s="686"/>
      <c r="P44" s="1">
        <v>-2.13</v>
      </c>
      <c r="Q44" s="171">
        <v>-6.47</v>
      </c>
      <c r="R44" s="11"/>
      <c r="S44" s="686"/>
      <c r="T44" s="11"/>
      <c r="U44" s="686"/>
      <c r="V44" s="1"/>
      <c r="W44" s="171"/>
      <c r="X44" s="1"/>
      <c r="Y44" s="686"/>
      <c r="Z44" s="729">
        <v>0.14</v>
      </c>
      <c r="AA44" s="722">
        <v>0.36</v>
      </c>
      <c r="AB44" s="1">
        <v>0.59</v>
      </c>
      <c r="AC44" s="171">
        <v>1.61</v>
      </c>
      <c r="AD44" s="1">
        <v>0.67</v>
      </c>
      <c r="AE44" s="171">
        <v>2.17</v>
      </c>
      <c r="AF44" s="11"/>
      <c r="AG44" s="686"/>
      <c r="AH44" s="11"/>
      <c r="AI44" s="686"/>
      <c r="AJ44" s="11"/>
      <c r="AK44" s="686"/>
      <c r="AL44" s="711"/>
      <c r="AM44" s="686"/>
      <c r="AN44" s="1109">
        <v>3.9</v>
      </c>
      <c r="AO44" s="1110">
        <v>8.92</v>
      </c>
      <c r="AP44" s="703"/>
      <c r="AQ44" s="294"/>
      <c r="AR44" s="234"/>
      <c r="AS44" s="692"/>
      <c r="AT44" s="11"/>
      <c r="AU44" s="686"/>
      <c r="AV44" s="18"/>
      <c r="AW44" s="17"/>
      <c r="AX44" s="11"/>
      <c r="AY44" s="10"/>
      <c r="AZ44" s="18"/>
      <c r="BA44" s="14"/>
    </row>
    <row r="45" spans="1:53" ht="15" thickBot="1">
      <c r="A45" s="225" t="s">
        <v>110</v>
      </c>
      <c r="B45" s="1106">
        <v>0.15</v>
      </c>
      <c r="C45" s="1107">
        <v>0.43</v>
      </c>
      <c r="D45" s="42"/>
      <c r="E45" s="689"/>
      <c r="F45" s="42"/>
      <c r="G45" s="689"/>
      <c r="H45" s="42"/>
      <c r="I45" s="689"/>
      <c r="J45" s="732">
        <v>0.016</v>
      </c>
      <c r="K45" s="731">
        <v>0.42</v>
      </c>
      <c r="L45" s="42"/>
      <c r="M45" s="689"/>
      <c r="N45" s="42"/>
      <c r="O45" s="689"/>
      <c r="P45" s="42"/>
      <c r="Q45" s="689"/>
      <c r="R45" s="42"/>
      <c r="S45" s="689"/>
      <c r="T45" s="42"/>
      <c r="U45" s="689"/>
      <c r="V45" s="732"/>
      <c r="W45" s="731"/>
      <c r="X45" s="732">
        <v>2.1</v>
      </c>
      <c r="Y45" s="731">
        <v>6.18</v>
      </c>
      <c r="Z45" s="730"/>
      <c r="AA45" s="723"/>
      <c r="AB45" s="42"/>
      <c r="AC45" s="689"/>
      <c r="AD45" s="719"/>
      <c r="AE45" s="716"/>
      <c r="AF45" s="42"/>
      <c r="AG45" s="689"/>
      <c r="AH45" s="42"/>
      <c r="AI45" s="689"/>
      <c r="AJ45" s="42"/>
      <c r="AK45" s="689"/>
      <c r="AL45" s="713"/>
      <c r="AM45" s="710"/>
      <c r="AN45" s="1111">
        <v>3.9</v>
      </c>
      <c r="AO45" s="1112">
        <v>8.91</v>
      </c>
      <c r="AP45" s="706"/>
      <c r="AQ45" s="697"/>
      <c r="AR45" s="235">
        <v>0.87</v>
      </c>
      <c r="AS45" s="693">
        <v>1.27</v>
      </c>
      <c r="AT45" s="42"/>
      <c r="AU45" s="689"/>
      <c r="AV45" s="42"/>
      <c r="AW45" s="41"/>
      <c r="AX45" s="42"/>
      <c r="AY45" s="41"/>
      <c r="AZ45" s="42"/>
      <c r="BA45" s="176"/>
    </row>
  </sheetData>
  <sheetProtection/>
  <mergeCells count="29">
    <mergeCell ref="N3:O3"/>
    <mergeCell ref="AZ3:BA3"/>
    <mergeCell ref="H3:I3"/>
    <mergeCell ref="AN3:AO3"/>
    <mergeCell ref="AP3:AQ3"/>
    <mergeCell ref="AR3:AS3"/>
    <mergeCell ref="AT3:AU3"/>
    <mergeCell ref="AV3:AW3"/>
    <mergeCell ref="V3:W3"/>
    <mergeCell ref="Z3:AA3"/>
    <mergeCell ref="A1:AZ1"/>
    <mergeCell ref="A2:AZ2"/>
    <mergeCell ref="A3:A4"/>
    <mergeCell ref="B3:C3"/>
    <mergeCell ref="D3:E3"/>
    <mergeCell ref="F3:G3"/>
    <mergeCell ref="J3:K3"/>
    <mergeCell ref="AX3:AY3"/>
    <mergeCell ref="L3:M3"/>
    <mergeCell ref="AL3:AM3"/>
    <mergeCell ref="AJ3:AK3"/>
    <mergeCell ref="T3:U3"/>
    <mergeCell ref="X3:Y3"/>
    <mergeCell ref="P3:Q3"/>
    <mergeCell ref="R3:S3"/>
    <mergeCell ref="AB3:AC3"/>
    <mergeCell ref="AD3:AE3"/>
    <mergeCell ref="AF3:AG3"/>
    <mergeCell ref="AH3:A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"/>
  <sheetViews>
    <sheetView tabSelected="1" zoomScalePageLayoutView="0" workbookViewId="0" topLeftCell="A1">
      <pane xSplit="1" topLeftCell="AP1" activePane="topRight" state="frozen"/>
      <selection pane="topLeft" activeCell="A1" sqref="A1"/>
      <selection pane="topRight" activeCell="AA18" sqref="AA18"/>
    </sheetView>
  </sheetViews>
  <sheetFormatPr defaultColWidth="9.140625" defaultRowHeight="15"/>
  <cols>
    <col min="1" max="1" width="30.421875" style="0" bestFit="1" customWidth="1"/>
    <col min="2" max="2" width="11.7109375" style="0" customWidth="1"/>
    <col min="3" max="3" width="12.7109375" style="0" customWidth="1"/>
    <col min="4" max="4" width="11.7109375" style="0" bestFit="1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1.7109375" style="0" bestFit="1" customWidth="1"/>
    <col min="9" max="9" width="12.8515625" style="0" bestFit="1" customWidth="1"/>
    <col min="10" max="10" width="11.7109375" style="0" bestFit="1" customWidth="1"/>
    <col min="11" max="11" width="12.421875" style="0" bestFit="1" customWidth="1"/>
    <col min="12" max="12" width="11.7109375" style="0" bestFit="1" customWidth="1"/>
    <col min="13" max="13" width="12.8515625" style="0" bestFit="1" customWidth="1"/>
    <col min="14" max="14" width="11.7109375" style="0" bestFit="1" customWidth="1"/>
    <col min="15" max="15" width="12.8515625" style="0" bestFit="1" customWidth="1"/>
    <col min="16" max="16" width="11.7109375" style="0" bestFit="1" customWidth="1"/>
    <col min="17" max="17" width="12.8515625" style="0" bestFit="1" customWidth="1"/>
    <col min="18" max="18" width="11.7109375" style="0" bestFit="1" customWidth="1"/>
    <col min="19" max="19" width="12.8515625" style="0" bestFit="1" customWidth="1"/>
    <col min="20" max="20" width="11.7109375" style="0" bestFit="1" customWidth="1"/>
    <col min="21" max="21" width="12.8515625" style="0" bestFit="1" customWidth="1"/>
    <col min="22" max="22" width="11.7109375" style="0" bestFit="1" customWidth="1"/>
    <col min="23" max="23" width="12.8515625" style="0" bestFit="1" customWidth="1"/>
    <col min="24" max="24" width="11.7109375" style="0" bestFit="1" customWidth="1"/>
    <col min="25" max="25" width="12.8515625" style="0" bestFit="1" customWidth="1"/>
    <col min="26" max="26" width="11.7109375" style="0" bestFit="1" customWidth="1"/>
    <col min="27" max="27" width="12.8515625" style="0" bestFit="1" customWidth="1"/>
    <col min="28" max="28" width="11.7109375" style="0" bestFit="1" customWidth="1"/>
    <col min="29" max="29" width="12.8515625" style="0" bestFit="1" customWidth="1"/>
    <col min="30" max="30" width="11.7109375" style="0" bestFit="1" customWidth="1"/>
    <col min="31" max="31" width="12.8515625" style="0" bestFit="1" customWidth="1"/>
    <col min="32" max="32" width="11.7109375" style="0" bestFit="1" customWidth="1"/>
    <col min="33" max="33" width="12.8515625" style="0" bestFit="1" customWidth="1"/>
    <col min="34" max="34" width="11.7109375" style="0" bestFit="1" customWidth="1"/>
    <col min="35" max="35" width="12.8515625" style="0" bestFit="1" customWidth="1"/>
    <col min="36" max="36" width="11.7109375" style="0" bestFit="1" customWidth="1"/>
    <col min="37" max="37" width="12.8515625" style="0" bestFit="1" customWidth="1"/>
    <col min="38" max="38" width="11.7109375" style="0" bestFit="1" customWidth="1"/>
    <col min="39" max="39" width="12.8515625" style="0" bestFit="1" customWidth="1"/>
    <col min="40" max="40" width="11.421875" style="0" customWidth="1"/>
    <col min="41" max="41" width="12.8515625" style="0" bestFit="1" customWidth="1"/>
    <col min="42" max="42" width="11.7109375" style="0" bestFit="1" customWidth="1"/>
    <col min="43" max="43" width="12.8515625" style="0" bestFit="1" customWidth="1"/>
    <col min="44" max="44" width="11.7109375" style="0" bestFit="1" customWidth="1"/>
    <col min="45" max="45" width="12.8515625" style="0" bestFit="1" customWidth="1"/>
    <col min="46" max="46" width="11.7109375" style="0" bestFit="1" customWidth="1"/>
    <col min="47" max="47" width="12.8515625" style="0" bestFit="1" customWidth="1"/>
    <col min="48" max="48" width="11.7109375" style="0" bestFit="1" customWidth="1"/>
    <col min="49" max="49" width="12.8515625" style="0" bestFit="1" customWidth="1"/>
    <col min="50" max="50" width="11.7109375" style="0" bestFit="1" customWidth="1"/>
    <col min="51" max="51" width="12.8515625" style="0" bestFit="1" customWidth="1"/>
    <col min="52" max="52" width="11.7109375" style="0" bestFit="1" customWidth="1"/>
    <col min="53" max="53" width="12.8515625" style="0" bestFit="1" customWidth="1"/>
    <col min="54" max="54" width="10.7109375" style="0" customWidth="1"/>
    <col min="55" max="55" width="12.00390625" style="0" customWidth="1"/>
  </cols>
  <sheetData>
    <row r="1" spans="1:52" s="74" customFormat="1" ht="18">
      <c r="A1" s="1144" t="s">
        <v>58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  <c r="AA1" s="1144"/>
      <c r="AB1" s="1144"/>
      <c r="AC1" s="1144"/>
      <c r="AD1" s="1144"/>
      <c r="AE1" s="1144"/>
      <c r="AF1" s="1144"/>
      <c r="AG1" s="1144"/>
      <c r="AH1" s="1144"/>
      <c r="AI1" s="1144"/>
      <c r="AJ1" s="1144"/>
      <c r="AK1" s="1144"/>
      <c r="AL1" s="1144"/>
      <c r="AM1" s="1144"/>
      <c r="AN1" s="1144"/>
      <c r="AO1" s="1144"/>
      <c r="AP1" s="1144"/>
      <c r="AQ1" s="1144"/>
      <c r="AR1" s="1144"/>
      <c r="AS1" s="1144"/>
      <c r="AT1" s="1144"/>
      <c r="AU1" s="1144"/>
      <c r="AV1" s="1144"/>
      <c r="AW1" s="1144"/>
      <c r="AX1" s="1144"/>
      <c r="AY1" s="1144"/>
      <c r="AZ1" s="1144"/>
    </row>
    <row r="2" spans="1:52" s="377" customFormat="1" ht="17.25" thickBot="1">
      <c r="A2" s="1173" t="s">
        <v>59</v>
      </c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P2" s="1173"/>
      <c r="Q2" s="1173"/>
      <c r="R2" s="1173"/>
      <c r="S2" s="1173"/>
      <c r="T2" s="1173"/>
      <c r="U2" s="1173"/>
      <c r="V2" s="1173"/>
      <c r="W2" s="1173"/>
      <c r="X2" s="1173"/>
      <c r="Y2" s="1173"/>
      <c r="Z2" s="1173"/>
      <c r="AA2" s="1173"/>
      <c r="AB2" s="1173"/>
      <c r="AC2" s="1173"/>
      <c r="AD2" s="1173"/>
      <c r="AE2" s="1173"/>
      <c r="AF2" s="1173"/>
      <c r="AG2" s="1173"/>
      <c r="AH2" s="1173"/>
      <c r="AI2" s="1173"/>
      <c r="AJ2" s="1173"/>
      <c r="AK2" s="1173"/>
      <c r="AL2" s="1173"/>
      <c r="AM2" s="1173"/>
      <c r="AN2" s="1173"/>
      <c r="AO2" s="1173"/>
      <c r="AP2" s="1173"/>
      <c r="AQ2" s="1173"/>
      <c r="AR2" s="1173"/>
      <c r="AS2" s="1173"/>
      <c r="AT2" s="1173"/>
      <c r="AU2" s="1173"/>
      <c r="AV2" s="1173"/>
      <c r="AW2" s="1173"/>
      <c r="AX2" s="1173"/>
      <c r="AY2" s="1173"/>
      <c r="AZ2" s="1173"/>
    </row>
    <row r="3" spans="1:53" s="811" customFormat="1" ht="28.5" customHeight="1" thickBot="1">
      <c r="A3" s="1174" t="s">
        <v>0</v>
      </c>
      <c r="B3" s="1176" t="s">
        <v>117</v>
      </c>
      <c r="C3" s="1177"/>
      <c r="D3" s="1171" t="s">
        <v>118</v>
      </c>
      <c r="E3" s="1172"/>
      <c r="F3" s="1170" t="s">
        <v>119</v>
      </c>
      <c r="G3" s="1172"/>
      <c r="H3" s="1170" t="s">
        <v>120</v>
      </c>
      <c r="I3" s="1171"/>
      <c r="J3" s="1170" t="s">
        <v>121</v>
      </c>
      <c r="K3" s="1172"/>
      <c r="L3" s="1170" t="s">
        <v>122</v>
      </c>
      <c r="M3" s="1171"/>
      <c r="N3" s="1170" t="s">
        <v>302</v>
      </c>
      <c r="O3" s="1172"/>
      <c r="P3" s="1183" t="s">
        <v>124</v>
      </c>
      <c r="Q3" s="1184"/>
      <c r="R3" s="1171" t="s">
        <v>125</v>
      </c>
      <c r="S3" s="1171"/>
      <c r="T3" s="1170" t="s">
        <v>126</v>
      </c>
      <c r="U3" s="1172"/>
      <c r="V3" s="1170" t="s">
        <v>127</v>
      </c>
      <c r="W3" s="1172"/>
      <c r="X3" s="1170" t="s">
        <v>128</v>
      </c>
      <c r="Y3" s="1172"/>
      <c r="Z3" s="1170" t="s">
        <v>129</v>
      </c>
      <c r="AA3" s="1172"/>
      <c r="AB3" s="1170" t="s">
        <v>130</v>
      </c>
      <c r="AC3" s="1171"/>
      <c r="AD3" s="1181" t="s">
        <v>131</v>
      </c>
      <c r="AE3" s="1182"/>
      <c r="AF3" s="1183" t="s">
        <v>132</v>
      </c>
      <c r="AG3" s="1184"/>
      <c r="AH3" s="1183" t="s">
        <v>133</v>
      </c>
      <c r="AI3" s="1184"/>
      <c r="AJ3" s="1171" t="s">
        <v>134</v>
      </c>
      <c r="AK3" s="1171"/>
      <c r="AL3" s="1181" t="s">
        <v>135</v>
      </c>
      <c r="AM3" s="1182"/>
      <c r="AN3" s="1183" t="s">
        <v>136</v>
      </c>
      <c r="AO3" s="1184"/>
      <c r="AP3" s="1180" t="s">
        <v>137</v>
      </c>
      <c r="AQ3" s="1180"/>
      <c r="AR3" s="1183" t="s">
        <v>138</v>
      </c>
      <c r="AS3" s="1184"/>
      <c r="AT3" s="1180" t="s">
        <v>139</v>
      </c>
      <c r="AU3" s="1180"/>
      <c r="AV3" s="1183" t="s">
        <v>1</v>
      </c>
      <c r="AW3" s="1184"/>
      <c r="AX3" s="1185" t="s">
        <v>140</v>
      </c>
      <c r="AY3" s="1185"/>
      <c r="AZ3" s="1178" t="s">
        <v>2</v>
      </c>
      <c r="BA3" s="1179"/>
    </row>
    <row r="4" spans="1:53" s="380" customFormat="1" ht="15.75" thickBot="1">
      <c r="A4" s="1175"/>
      <c r="B4" s="378" t="s">
        <v>297</v>
      </c>
      <c r="C4" s="376" t="s">
        <v>298</v>
      </c>
      <c r="D4" s="379" t="s">
        <v>297</v>
      </c>
      <c r="E4" s="379" t="s">
        <v>298</v>
      </c>
      <c r="F4" s="378" t="s">
        <v>297</v>
      </c>
      <c r="G4" s="379" t="s">
        <v>298</v>
      </c>
      <c r="H4" s="378" t="s">
        <v>297</v>
      </c>
      <c r="I4" s="379" t="s">
        <v>298</v>
      </c>
      <c r="J4" s="378" t="s">
        <v>297</v>
      </c>
      <c r="K4" s="376" t="s">
        <v>298</v>
      </c>
      <c r="L4" s="378" t="s">
        <v>297</v>
      </c>
      <c r="M4" s="379" t="s">
        <v>298</v>
      </c>
      <c r="N4" s="378" t="s">
        <v>297</v>
      </c>
      <c r="O4" s="376" t="s">
        <v>298</v>
      </c>
      <c r="P4" s="378" t="s">
        <v>297</v>
      </c>
      <c r="Q4" s="376" t="s">
        <v>298</v>
      </c>
      <c r="R4" s="379" t="s">
        <v>297</v>
      </c>
      <c r="S4" s="379" t="s">
        <v>298</v>
      </c>
      <c r="T4" s="378" t="s">
        <v>297</v>
      </c>
      <c r="U4" s="376" t="s">
        <v>298</v>
      </c>
      <c r="V4" s="378" t="s">
        <v>297</v>
      </c>
      <c r="W4" s="376" t="s">
        <v>298</v>
      </c>
      <c r="X4" s="378" t="s">
        <v>297</v>
      </c>
      <c r="Y4" s="376" t="s">
        <v>298</v>
      </c>
      <c r="Z4" s="373" t="s">
        <v>297</v>
      </c>
      <c r="AA4" s="374" t="s">
        <v>298</v>
      </c>
      <c r="AB4" s="373" t="s">
        <v>297</v>
      </c>
      <c r="AC4" s="374" t="s">
        <v>298</v>
      </c>
      <c r="AD4" s="373" t="s">
        <v>297</v>
      </c>
      <c r="AE4" s="375" t="s">
        <v>298</v>
      </c>
      <c r="AF4" s="589" t="s">
        <v>297</v>
      </c>
      <c r="AG4" s="590" t="s">
        <v>298</v>
      </c>
      <c r="AH4" s="589" t="s">
        <v>297</v>
      </c>
      <c r="AI4" s="590" t="s">
        <v>298</v>
      </c>
      <c r="AJ4" s="589" t="s">
        <v>297</v>
      </c>
      <c r="AK4" s="590" t="s">
        <v>298</v>
      </c>
      <c r="AL4" s="589" t="s">
        <v>297</v>
      </c>
      <c r="AM4" s="590" t="s">
        <v>298</v>
      </c>
      <c r="AN4" s="589" t="s">
        <v>297</v>
      </c>
      <c r="AO4" s="590" t="s">
        <v>298</v>
      </c>
      <c r="AP4" s="589" t="s">
        <v>297</v>
      </c>
      <c r="AQ4" s="590" t="s">
        <v>298</v>
      </c>
      <c r="AR4" s="589" t="s">
        <v>297</v>
      </c>
      <c r="AS4" s="590" t="s">
        <v>298</v>
      </c>
      <c r="AT4" s="589" t="s">
        <v>297</v>
      </c>
      <c r="AU4" s="590" t="s">
        <v>298</v>
      </c>
      <c r="AV4" s="373" t="s">
        <v>297</v>
      </c>
      <c r="AW4" s="374" t="s">
        <v>298</v>
      </c>
      <c r="AX4" s="373" t="s">
        <v>297</v>
      </c>
      <c r="AY4" s="374" t="s">
        <v>298</v>
      </c>
      <c r="AZ4" s="373" t="s">
        <v>297</v>
      </c>
      <c r="BA4" s="375" t="s">
        <v>298</v>
      </c>
    </row>
    <row r="5" spans="1:53" s="78" customFormat="1" ht="14.25">
      <c r="A5" s="287" t="s">
        <v>21</v>
      </c>
      <c r="B5" s="150"/>
      <c r="C5" s="152"/>
      <c r="D5" s="153"/>
      <c r="E5" s="151"/>
      <c r="F5" s="150"/>
      <c r="G5" s="151"/>
      <c r="H5" s="150"/>
      <c r="I5" s="157"/>
      <c r="J5" s="150"/>
      <c r="K5" s="152"/>
      <c r="L5" s="150"/>
      <c r="M5" s="157"/>
      <c r="N5" s="150"/>
      <c r="O5" s="152"/>
      <c r="P5" s="150"/>
      <c r="Q5" s="152"/>
      <c r="R5" s="153"/>
      <c r="S5" s="157"/>
      <c r="T5" s="150"/>
      <c r="U5" s="152"/>
      <c r="V5" s="158"/>
      <c r="W5" s="154"/>
      <c r="X5" s="177"/>
      <c r="Y5" s="179"/>
      <c r="Z5" s="150"/>
      <c r="AA5" s="152"/>
      <c r="AB5" s="153"/>
      <c r="AC5" s="157"/>
      <c r="AD5" s="150"/>
      <c r="AE5" s="152"/>
      <c r="AF5" s="177"/>
      <c r="AG5" s="179"/>
      <c r="AH5" s="177"/>
      <c r="AI5" s="179"/>
      <c r="AJ5" s="153"/>
      <c r="AK5" s="157"/>
      <c r="AL5" s="177"/>
      <c r="AM5" s="179"/>
      <c r="AN5" s="177"/>
      <c r="AO5" s="179"/>
      <c r="AP5" s="153"/>
      <c r="AQ5" s="157"/>
      <c r="AR5" s="177"/>
      <c r="AS5" s="179"/>
      <c r="AT5" s="618"/>
      <c r="AU5" s="178"/>
      <c r="AV5" s="150"/>
      <c r="AW5" s="288"/>
      <c r="AX5" s="153"/>
      <c r="AY5" s="151"/>
      <c r="AZ5" s="150"/>
      <c r="BA5" s="289"/>
    </row>
    <row r="6" spans="1:53" s="78" customFormat="1" ht="14.25">
      <c r="A6" s="75" t="s">
        <v>22</v>
      </c>
      <c r="B6" s="112"/>
      <c r="C6" s="79"/>
      <c r="D6" s="113"/>
      <c r="E6" s="81"/>
      <c r="F6" s="80"/>
      <c r="G6" s="81"/>
      <c r="H6" s="80"/>
      <c r="I6" s="83"/>
      <c r="J6" s="80"/>
      <c r="K6" s="82"/>
      <c r="L6" s="80"/>
      <c r="M6" s="83"/>
      <c r="N6" s="80"/>
      <c r="O6" s="82"/>
      <c r="P6" s="80"/>
      <c r="Q6" s="82"/>
      <c r="R6" s="113"/>
      <c r="S6" s="83"/>
      <c r="T6" s="80"/>
      <c r="U6" s="82"/>
      <c r="V6" s="84"/>
      <c r="W6" s="86"/>
      <c r="X6" s="80"/>
      <c r="Y6" s="82"/>
      <c r="Z6" s="87"/>
      <c r="AA6" s="88"/>
      <c r="AB6" s="113"/>
      <c r="AC6" s="83"/>
      <c r="AD6" s="80"/>
      <c r="AE6" s="82"/>
      <c r="AF6" s="80"/>
      <c r="AG6" s="82"/>
      <c r="AH6" s="80"/>
      <c r="AI6" s="82"/>
      <c r="AJ6" s="113"/>
      <c r="AK6" s="83"/>
      <c r="AL6" s="89"/>
      <c r="AM6" s="82"/>
      <c r="AN6" s="802"/>
      <c r="AO6" s="77"/>
      <c r="AP6" s="291"/>
      <c r="AQ6" s="806"/>
      <c r="AR6" s="809"/>
      <c r="AS6" s="621"/>
      <c r="AT6" s="113"/>
      <c r="AU6" s="81"/>
      <c r="AV6" s="91"/>
      <c r="AW6" s="92"/>
      <c r="AX6" s="292"/>
      <c r="AY6" s="90"/>
      <c r="AZ6" s="91"/>
      <c r="BA6" s="82"/>
    </row>
    <row r="7" spans="1:53" s="78" customFormat="1" ht="14.25">
      <c r="A7" s="283" t="s">
        <v>23</v>
      </c>
      <c r="B7" s="290">
        <v>5093426</v>
      </c>
      <c r="C7" s="94">
        <v>12366187</v>
      </c>
      <c r="D7" s="114">
        <v>207150</v>
      </c>
      <c r="E7" s="85">
        <v>634081</v>
      </c>
      <c r="F7" s="84">
        <v>681116</v>
      </c>
      <c r="G7" s="85">
        <v>1580134</v>
      </c>
      <c r="H7" s="84">
        <v>5364723</v>
      </c>
      <c r="I7" s="95">
        <v>13158992</v>
      </c>
      <c r="J7" s="84">
        <v>1587429</v>
      </c>
      <c r="K7" s="86">
        <v>4289486</v>
      </c>
      <c r="L7" s="84">
        <v>2635779</v>
      </c>
      <c r="M7" s="95">
        <v>6952571</v>
      </c>
      <c r="N7" s="84">
        <v>386838</v>
      </c>
      <c r="O7" s="86">
        <v>1172561</v>
      </c>
      <c r="P7" s="84">
        <v>911531</v>
      </c>
      <c r="Q7" s="86">
        <v>2300173</v>
      </c>
      <c r="R7" s="114">
        <v>1936423</v>
      </c>
      <c r="S7" s="95">
        <v>5131888</v>
      </c>
      <c r="T7" s="84">
        <v>1631036</v>
      </c>
      <c r="U7" s="86">
        <v>4847329</v>
      </c>
      <c r="V7" s="84">
        <v>15429645</v>
      </c>
      <c r="W7" s="86">
        <v>43222655</v>
      </c>
      <c r="X7" s="84">
        <v>18742083</v>
      </c>
      <c r="Y7" s="86">
        <v>48625031</v>
      </c>
      <c r="Z7" s="84">
        <v>634796</v>
      </c>
      <c r="AA7" s="100">
        <v>1978732</v>
      </c>
      <c r="AB7" s="113">
        <v>2302650</v>
      </c>
      <c r="AC7" s="83">
        <v>5541380</v>
      </c>
      <c r="AD7" s="84">
        <v>9534960</v>
      </c>
      <c r="AE7" s="86">
        <v>21794703</v>
      </c>
      <c r="AF7" s="84">
        <v>9988203</v>
      </c>
      <c r="AG7" s="82">
        <v>26976866</v>
      </c>
      <c r="AH7" s="84">
        <v>3556101</v>
      </c>
      <c r="AI7" s="86">
        <v>9529624</v>
      </c>
      <c r="AJ7" s="114">
        <v>2402459</v>
      </c>
      <c r="AK7" s="95">
        <v>6741614</v>
      </c>
      <c r="AL7" s="89"/>
      <c r="AM7" s="82"/>
      <c r="AN7" s="803">
        <v>31141935</v>
      </c>
      <c r="AO7" s="567">
        <v>73065818</v>
      </c>
      <c r="AP7" s="180">
        <v>1244393</v>
      </c>
      <c r="AQ7" s="807">
        <v>3240195</v>
      </c>
      <c r="AR7" s="102">
        <v>1737353</v>
      </c>
      <c r="AS7" s="104">
        <v>4260096</v>
      </c>
      <c r="AT7" s="114">
        <v>7437442</v>
      </c>
      <c r="AU7" s="85">
        <v>18223704</v>
      </c>
      <c r="AV7" s="105">
        <f aca="true" t="shared" si="0" ref="AV7:AW9">SUM(B7+D7+F7+H7+J7+L7+N7+P7+R7+T7+V7+X7+Z7+AB7+AD7+AF7+AH7+AJ7+AL7+AN7+AP7+AR7+AT7)</f>
        <v>124587471</v>
      </c>
      <c r="AW7" s="106">
        <f t="shared" si="0"/>
        <v>315633820</v>
      </c>
      <c r="AX7" s="293">
        <v>154372478</v>
      </c>
      <c r="AY7" s="103">
        <v>471515973</v>
      </c>
      <c r="AZ7" s="105">
        <f aca="true" t="shared" si="1" ref="AZ7:BA10">AV7+AX7</f>
        <v>278959949</v>
      </c>
      <c r="BA7" s="106">
        <f t="shared" si="1"/>
        <v>787149793</v>
      </c>
    </row>
    <row r="8" spans="1:53" s="78" customFormat="1" ht="14.25">
      <c r="A8" s="283" t="s">
        <v>24</v>
      </c>
      <c r="B8" s="290">
        <v>11327545</v>
      </c>
      <c r="C8" s="94">
        <v>27939188</v>
      </c>
      <c r="D8" s="114">
        <v>1104063</v>
      </c>
      <c r="E8" s="85">
        <v>3048403</v>
      </c>
      <c r="F8" s="84">
        <v>2076275</v>
      </c>
      <c r="G8" s="85">
        <v>6051732</v>
      </c>
      <c r="H8" s="84">
        <v>14411943</v>
      </c>
      <c r="I8" s="95">
        <v>29643968</v>
      </c>
      <c r="J8" s="84">
        <v>3434558</v>
      </c>
      <c r="K8" s="86">
        <v>8846962</v>
      </c>
      <c r="L8" s="84">
        <v>5313845</v>
      </c>
      <c r="M8" s="95">
        <v>15643666</v>
      </c>
      <c r="N8" s="84">
        <v>1779110</v>
      </c>
      <c r="O8" s="86">
        <v>5079117</v>
      </c>
      <c r="P8" s="84">
        <v>1458204</v>
      </c>
      <c r="Q8" s="86">
        <v>3871487</v>
      </c>
      <c r="R8" s="114">
        <v>5302766</v>
      </c>
      <c r="S8" s="95">
        <v>15081209</v>
      </c>
      <c r="T8" s="84">
        <v>1629585</v>
      </c>
      <c r="U8" s="86">
        <v>3928436</v>
      </c>
      <c r="V8" s="84">
        <v>37656303</v>
      </c>
      <c r="W8" s="86">
        <v>99422736</v>
      </c>
      <c r="X8" s="84">
        <v>52255209</v>
      </c>
      <c r="Y8" s="86">
        <v>145080179</v>
      </c>
      <c r="Z8" s="84">
        <v>2935014</v>
      </c>
      <c r="AA8" s="100">
        <v>8308121</v>
      </c>
      <c r="AB8" s="113">
        <v>3317941</v>
      </c>
      <c r="AC8" s="83">
        <v>8552468</v>
      </c>
      <c r="AD8" s="84">
        <v>11847376</v>
      </c>
      <c r="AE8" s="86">
        <v>29746176</v>
      </c>
      <c r="AF8" s="84">
        <v>24766487</v>
      </c>
      <c r="AG8" s="86">
        <v>66176326</v>
      </c>
      <c r="AH8" s="84">
        <v>8907089</v>
      </c>
      <c r="AI8" s="86">
        <v>23324835</v>
      </c>
      <c r="AJ8" s="114">
        <v>8289335</v>
      </c>
      <c r="AK8" s="95">
        <v>22846628</v>
      </c>
      <c r="AL8" s="89"/>
      <c r="AM8" s="82"/>
      <c r="AN8" s="803">
        <v>67890698</v>
      </c>
      <c r="AO8" s="567">
        <v>159103785</v>
      </c>
      <c r="AP8" s="180">
        <v>2687029</v>
      </c>
      <c r="AQ8" s="807">
        <v>6499325</v>
      </c>
      <c r="AR8" s="102">
        <v>4015099</v>
      </c>
      <c r="AS8" s="104">
        <v>9768317</v>
      </c>
      <c r="AT8" s="114">
        <v>12474852</v>
      </c>
      <c r="AU8" s="85">
        <v>30730149</v>
      </c>
      <c r="AV8" s="105">
        <f t="shared" si="0"/>
        <v>284880326</v>
      </c>
      <c r="AW8" s="106">
        <f t="shared" si="0"/>
        <v>728693213</v>
      </c>
      <c r="AX8" s="293">
        <v>500590363</v>
      </c>
      <c r="AY8" s="103">
        <v>1404969576</v>
      </c>
      <c r="AZ8" s="105">
        <f t="shared" si="1"/>
        <v>785470689</v>
      </c>
      <c r="BA8" s="106">
        <f t="shared" si="1"/>
        <v>2133662789</v>
      </c>
    </row>
    <row r="9" spans="1:53" s="78" customFormat="1" ht="14.25">
      <c r="A9" s="283" t="s">
        <v>25</v>
      </c>
      <c r="B9" s="290">
        <v>5854976</v>
      </c>
      <c r="C9" s="94">
        <v>12826005</v>
      </c>
      <c r="D9" s="114">
        <v>7587</v>
      </c>
      <c r="E9" s="85">
        <v>32916</v>
      </c>
      <c r="F9" s="84">
        <v>30632</v>
      </c>
      <c r="G9" s="85">
        <v>84567</v>
      </c>
      <c r="H9" s="84">
        <v>8742313</v>
      </c>
      <c r="I9" s="95">
        <v>23439269</v>
      </c>
      <c r="J9" s="84">
        <v>417174</v>
      </c>
      <c r="K9" s="86">
        <v>1862540</v>
      </c>
      <c r="L9" s="84">
        <v>1217459</v>
      </c>
      <c r="M9" s="95">
        <v>4524866</v>
      </c>
      <c r="N9" s="84">
        <v>905780</v>
      </c>
      <c r="O9" s="86">
        <v>3098187</v>
      </c>
      <c r="P9" s="84">
        <v>56716</v>
      </c>
      <c r="Q9" s="86">
        <v>201775</v>
      </c>
      <c r="R9" s="114">
        <v>267544</v>
      </c>
      <c r="S9" s="95">
        <v>903426</v>
      </c>
      <c r="T9" s="84">
        <v>202977</v>
      </c>
      <c r="U9" s="86">
        <v>568491</v>
      </c>
      <c r="V9" s="84">
        <v>26924870</v>
      </c>
      <c r="W9" s="86">
        <v>78275328</v>
      </c>
      <c r="X9" s="84">
        <v>11639176</v>
      </c>
      <c r="Y9" s="86">
        <v>34131793</v>
      </c>
      <c r="Z9" s="84">
        <v>641612</v>
      </c>
      <c r="AA9" s="100">
        <v>1938855</v>
      </c>
      <c r="AB9" s="113">
        <v>2057383</v>
      </c>
      <c r="AC9" s="83">
        <v>8205979</v>
      </c>
      <c r="AD9" s="84">
        <v>5064951</v>
      </c>
      <c r="AE9" s="86">
        <v>13213017</v>
      </c>
      <c r="AF9" s="84">
        <v>4034943</v>
      </c>
      <c r="AG9" s="86">
        <v>9957260</v>
      </c>
      <c r="AH9" s="84">
        <v>1169394</v>
      </c>
      <c r="AI9" s="86">
        <v>2910253</v>
      </c>
      <c r="AJ9" s="114">
        <v>156794</v>
      </c>
      <c r="AK9" s="95">
        <v>496410</v>
      </c>
      <c r="AL9" s="89"/>
      <c r="AM9" s="82"/>
      <c r="AN9" s="803">
        <v>18563996</v>
      </c>
      <c r="AO9" s="567">
        <v>54805538</v>
      </c>
      <c r="AP9" s="180">
        <v>588414</v>
      </c>
      <c r="AQ9" s="807">
        <v>1733252</v>
      </c>
      <c r="AR9" s="102">
        <v>574291</v>
      </c>
      <c r="AS9" s="104">
        <v>1210587</v>
      </c>
      <c r="AT9" s="114">
        <v>1198145</v>
      </c>
      <c r="AU9" s="85">
        <v>3514528</v>
      </c>
      <c r="AV9" s="105">
        <f t="shared" si="0"/>
        <v>90317127</v>
      </c>
      <c r="AW9" s="106">
        <f t="shared" si="0"/>
        <v>257934842</v>
      </c>
      <c r="AX9" s="293">
        <v>316510634</v>
      </c>
      <c r="AY9" s="103">
        <v>899796110</v>
      </c>
      <c r="AZ9" s="105">
        <f t="shared" si="1"/>
        <v>406827761</v>
      </c>
      <c r="BA9" s="106">
        <f t="shared" si="1"/>
        <v>1157730952</v>
      </c>
    </row>
    <row r="10" spans="1:53" s="78" customFormat="1" ht="14.25">
      <c r="A10" s="285" t="s">
        <v>26</v>
      </c>
      <c r="B10" s="76">
        <f aca="true" t="shared" si="2" ref="B10:I10">SUM(B7:B9)</f>
        <v>22275947</v>
      </c>
      <c r="C10" s="404">
        <f t="shared" si="2"/>
        <v>53131380</v>
      </c>
      <c r="D10" s="108">
        <f t="shared" si="2"/>
        <v>1318800</v>
      </c>
      <c r="E10" s="76">
        <f t="shared" si="2"/>
        <v>3715400</v>
      </c>
      <c r="F10" s="76">
        <f t="shared" si="2"/>
        <v>2788023</v>
      </c>
      <c r="G10" s="76">
        <f t="shared" si="2"/>
        <v>7716433</v>
      </c>
      <c r="H10" s="76">
        <f t="shared" si="2"/>
        <v>28518979</v>
      </c>
      <c r="I10" s="400">
        <f t="shared" si="2"/>
        <v>66242229</v>
      </c>
      <c r="J10" s="76">
        <f aca="true" t="shared" si="3" ref="J10:R10">SUM(J7:J9)</f>
        <v>5439161</v>
      </c>
      <c r="K10" s="404">
        <f t="shared" si="3"/>
        <v>14998988</v>
      </c>
      <c r="L10" s="76">
        <f t="shared" si="3"/>
        <v>9167083</v>
      </c>
      <c r="M10" s="400">
        <f t="shared" si="3"/>
        <v>27121103</v>
      </c>
      <c r="N10" s="76">
        <f t="shared" si="3"/>
        <v>3071728</v>
      </c>
      <c r="O10" s="404">
        <f t="shared" si="3"/>
        <v>9349865</v>
      </c>
      <c r="P10" s="76">
        <f t="shared" si="3"/>
        <v>2426451</v>
      </c>
      <c r="Q10" s="404">
        <f t="shared" si="3"/>
        <v>6373435</v>
      </c>
      <c r="R10" s="108">
        <f t="shared" si="3"/>
        <v>7506733</v>
      </c>
      <c r="S10" s="796">
        <f aca="true" t="shared" si="4" ref="S10:X10">SUM(S7:S9)</f>
        <v>21116523</v>
      </c>
      <c r="T10" s="76">
        <f t="shared" si="4"/>
        <v>3463598</v>
      </c>
      <c r="U10" s="797">
        <f t="shared" si="4"/>
        <v>9344256</v>
      </c>
      <c r="V10" s="76">
        <f t="shared" si="4"/>
        <v>80010818</v>
      </c>
      <c r="W10" s="797">
        <f t="shared" si="4"/>
        <v>220920719</v>
      </c>
      <c r="X10" s="76">
        <f t="shared" si="4"/>
        <v>82636468</v>
      </c>
      <c r="Y10" s="797">
        <f aca="true" t="shared" si="5" ref="Y10:AV10">SUM(Y7:Y9)</f>
        <v>227837003</v>
      </c>
      <c r="Z10" s="76">
        <f t="shared" si="5"/>
        <v>4211422</v>
      </c>
      <c r="AA10" s="797">
        <f t="shared" si="5"/>
        <v>12225708</v>
      </c>
      <c r="AB10" s="108">
        <f t="shared" si="5"/>
        <v>7677974</v>
      </c>
      <c r="AC10" s="796">
        <f t="shared" si="5"/>
        <v>22299827</v>
      </c>
      <c r="AD10" s="76">
        <f t="shared" si="5"/>
        <v>26447287</v>
      </c>
      <c r="AE10" s="797">
        <f t="shared" si="5"/>
        <v>64753896</v>
      </c>
      <c r="AF10" s="76">
        <f t="shared" si="5"/>
        <v>38789633</v>
      </c>
      <c r="AG10" s="797">
        <f t="shared" si="5"/>
        <v>103110452</v>
      </c>
      <c r="AH10" s="76">
        <f t="shared" si="5"/>
        <v>13632584</v>
      </c>
      <c r="AI10" s="797">
        <f t="shared" si="5"/>
        <v>35764712</v>
      </c>
      <c r="AJ10" s="108">
        <f t="shared" si="5"/>
        <v>10848588</v>
      </c>
      <c r="AK10" s="796">
        <f t="shared" si="5"/>
        <v>30084652</v>
      </c>
      <c r="AL10" s="76">
        <f t="shared" si="5"/>
        <v>0</v>
      </c>
      <c r="AM10" s="797">
        <f t="shared" si="5"/>
        <v>0</v>
      </c>
      <c r="AN10" s="76">
        <f t="shared" si="5"/>
        <v>117596629</v>
      </c>
      <c r="AO10" s="797">
        <f t="shared" si="5"/>
        <v>286975141</v>
      </c>
      <c r="AP10" s="108">
        <f t="shared" si="5"/>
        <v>4519836</v>
      </c>
      <c r="AQ10" s="796">
        <f t="shared" si="5"/>
        <v>11472772</v>
      </c>
      <c r="AR10" s="76">
        <f t="shared" si="5"/>
        <v>6326743</v>
      </c>
      <c r="AS10" s="797">
        <f t="shared" si="5"/>
        <v>15239000</v>
      </c>
      <c r="AT10" s="108">
        <f t="shared" si="5"/>
        <v>21110439</v>
      </c>
      <c r="AU10" s="108">
        <f t="shared" si="5"/>
        <v>52468381</v>
      </c>
      <c r="AV10" s="404">
        <f t="shared" si="5"/>
        <v>499784924</v>
      </c>
      <c r="AW10" s="106">
        <f>SUM(C10+E10+G10+I10+K10+M10+O10+Q10+S10+U10+W10+Y10+AA10+AC10+AE10+AG10+AI10+AK10+AM10+AO10+AQ10+AS10+AU10)</f>
        <v>1302261875</v>
      </c>
      <c r="AX10" s="115">
        <f>SUM(AX7:AX9)</f>
        <v>971473475</v>
      </c>
      <c r="AY10" s="115">
        <f>SUM(AY7:AY9)</f>
        <v>2776281659</v>
      </c>
      <c r="AZ10" s="105">
        <f t="shared" si="1"/>
        <v>1471258399</v>
      </c>
      <c r="BA10" s="106">
        <f t="shared" si="1"/>
        <v>4078543534</v>
      </c>
    </row>
    <row r="11" spans="1:53" s="78" customFormat="1" ht="14.25">
      <c r="A11" s="283" t="s">
        <v>27</v>
      </c>
      <c r="B11" s="290"/>
      <c r="C11" s="94"/>
      <c r="D11" s="114"/>
      <c r="E11" s="85"/>
      <c r="F11" s="84"/>
      <c r="G11" s="85"/>
      <c r="H11" s="84"/>
      <c r="I11" s="95"/>
      <c r="J11" s="84"/>
      <c r="K11" s="86"/>
      <c r="L11" s="84"/>
      <c r="M11" s="95"/>
      <c r="N11" s="84"/>
      <c r="O11" s="86"/>
      <c r="P11" s="84"/>
      <c r="Q11" s="86"/>
      <c r="R11" s="114"/>
      <c r="S11" s="95"/>
      <c r="T11" s="84"/>
      <c r="U11" s="86"/>
      <c r="V11" s="84"/>
      <c r="W11" s="86"/>
      <c r="X11" s="84"/>
      <c r="Y11" s="86"/>
      <c r="Z11" s="84"/>
      <c r="AA11" s="86"/>
      <c r="AB11" s="113"/>
      <c r="AC11" s="83"/>
      <c r="AD11" s="84"/>
      <c r="AE11" s="86"/>
      <c r="AF11" s="84"/>
      <c r="AG11" s="86"/>
      <c r="AH11" s="84"/>
      <c r="AI11" s="86"/>
      <c r="AJ11" s="114"/>
      <c r="AK11" s="95"/>
      <c r="AL11" s="89"/>
      <c r="AM11" s="82"/>
      <c r="AN11" s="802"/>
      <c r="AO11" s="77"/>
      <c r="AP11" s="180"/>
      <c r="AQ11" s="807"/>
      <c r="AR11" s="102"/>
      <c r="AS11" s="104"/>
      <c r="AT11" s="114"/>
      <c r="AU11" s="85"/>
      <c r="AV11" s="105"/>
      <c r="AW11" s="106"/>
      <c r="AX11" s="293"/>
      <c r="AY11" s="103"/>
      <c r="AZ11" s="105"/>
      <c r="BA11" s="106"/>
    </row>
    <row r="12" spans="1:53" s="78" customFormat="1" ht="14.25">
      <c r="A12" s="283" t="s">
        <v>28</v>
      </c>
      <c r="B12" s="290">
        <f aca="true" t="shared" si="6" ref="B12:L12">B10</f>
        <v>22275947</v>
      </c>
      <c r="C12" s="810">
        <f t="shared" si="6"/>
        <v>53131380</v>
      </c>
      <c r="D12" s="115">
        <f t="shared" si="6"/>
        <v>1318800</v>
      </c>
      <c r="E12" s="115">
        <f t="shared" si="6"/>
        <v>3715400</v>
      </c>
      <c r="F12" s="105">
        <f t="shared" si="6"/>
        <v>2788023</v>
      </c>
      <c r="G12" s="115">
        <f t="shared" si="6"/>
        <v>7716433</v>
      </c>
      <c r="H12" s="105">
        <f t="shared" si="6"/>
        <v>28518979</v>
      </c>
      <c r="I12" s="116">
        <f t="shared" si="6"/>
        <v>66242229</v>
      </c>
      <c r="J12" s="105">
        <f t="shared" si="6"/>
        <v>5439161</v>
      </c>
      <c r="K12" s="117">
        <f t="shared" si="6"/>
        <v>14998988</v>
      </c>
      <c r="L12" s="105">
        <f t="shared" si="6"/>
        <v>9167083</v>
      </c>
      <c r="M12" s="116">
        <f aca="true" t="shared" si="7" ref="M12:Y12">M10</f>
        <v>27121103</v>
      </c>
      <c r="N12" s="105">
        <f t="shared" si="7"/>
        <v>3071728</v>
      </c>
      <c r="O12" s="117">
        <f t="shared" si="7"/>
        <v>9349865</v>
      </c>
      <c r="P12" s="105">
        <f t="shared" si="7"/>
        <v>2426451</v>
      </c>
      <c r="Q12" s="117">
        <f t="shared" si="7"/>
        <v>6373435</v>
      </c>
      <c r="R12" s="115">
        <f t="shared" si="7"/>
        <v>7506733</v>
      </c>
      <c r="S12" s="116">
        <f t="shared" si="7"/>
        <v>21116523</v>
      </c>
      <c r="T12" s="105">
        <f t="shared" si="7"/>
        <v>3463598</v>
      </c>
      <c r="U12" s="117">
        <f t="shared" si="7"/>
        <v>9344256</v>
      </c>
      <c r="V12" s="105">
        <f t="shared" si="7"/>
        <v>80010818</v>
      </c>
      <c r="W12" s="117">
        <f t="shared" si="7"/>
        <v>220920719</v>
      </c>
      <c r="X12" s="105">
        <f t="shared" si="7"/>
        <v>82636468</v>
      </c>
      <c r="Y12" s="117">
        <f t="shared" si="7"/>
        <v>227837003</v>
      </c>
      <c r="Z12" s="84">
        <f>Z10</f>
        <v>4211422</v>
      </c>
      <c r="AA12" s="619">
        <f>AA10</f>
        <v>12225708</v>
      </c>
      <c r="AB12" s="113">
        <f>AB10</f>
        <v>7677974</v>
      </c>
      <c r="AC12" s="798">
        <f>AC10</f>
        <v>22299827</v>
      </c>
      <c r="AD12" s="84">
        <f>AD10</f>
        <v>26447287</v>
      </c>
      <c r="AE12" s="616">
        <f aca="true" t="shared" si="8" ref="AE12:AS12">AE10</f>
        <v>64753896</v>
      </c>
      <c r="AF12" s="84">
        <f t="shared" si="8"/>
        <v>38789633</v>
      </c>
      <c r="AG12" s="616">
        <f t="shared" si="8"/>
        <v>103110452</v>
      </c>
      <c r="AH12" s="84">
        <f t="shared" si="8"/>
        <v>13632584</v>
      </c>
      <c r="AI12" s="616">
        <f t="shared" si="8"/>
        <v>35764712</v>
      </c>
      <c r="AJ12" s="114">
        <f t="shared" si="8"/>
        <v>10848588</v>
      </c>
      <c r="AK12" s="800">
        <f t="shared" si="8"/>
        <v>30084652</v>
      </c>
      <c r="AL12" s="84">
        <f t="shared" si="8"/>
        <v>0</v>
      </c>
      <c r="AM12" s="616">
        <f t="shared" si="8"/>
        <v>0</v>
      </c>
      <c r="AN12" s="84">
        <f t="shared" si="8"/>
        <v>117596629</v>
      </c>
      <c r="AO12" s="616">
        <f t="shared" si="8"/>
        <v>286975141</v>
      </c>
      <c r="AP12" s="114">
        <f t="shared" si="8"/>
        <v>4519836</v>
      </c>
      <c r="AQ12" s="800">
        <f t="shared" si="8"/>
        <v>11472772</v>
      </c>
      <c r="AR12" s="84">
        <f t="shared" si="8"/>
        <v>6326743</v>
      </c>
      <c r="AS12" s="616">
        <f t="shared" si="8"/>
        <v>15239000</v>
      </c>
      <c r="AT12" s="293">
        <f>AT10</f>
        <v>21110439</v>
      </c>
      <c r="AU12" s="103">
        <f>AU10</f>
        <v>52468381</v>
      </c>
      <c r="AV12" s="617">
        <f>AV10</f>
        <v>499784924</v>
      </c>
      <c r="AW12" s="106">
        <f>SUM(C12+E12+G12+I12+K12+M12+O12+Q12+S12+U12+W12+Y12+AA12+AC12+AE12+AG12+AI12+AK12+AM12+AO12+AQ12+AS12+AU12)</f>
        <v>1302261875</v>
      </c>
      <c r="AX12" s="293">
        <f>AX10</f>
        <v>971473475</v>
      </c>
      <c r="AY12" s="293">
        <f>AY10</f>
        <v>2776281659</v>
      </c>
      <c r="AZ12" s="105">
        <f>AV12+AX12</f>
        <v>1471258399</v>
      </c>
      <c r="BA12" s="106">
        <f>AW12+AY12</f>
        <v>4078543534</v>
      </c>
    </row>
    <row r="13" spans="1:53" s="78" customFormat="1" ht="14.25">
      <c r="A13" s="75" t="s">
        <v>29</v>
      </c>
      <c r="B13" s="290"/>
      <c r="C13" s="94"/>
      <c r="D13" s="114"/>
      <c r="E13" s="85"/>
      <c r="F13" s="84"/>
      <c r="G13" s="85"/>
      <c r="H13" s="84"/>
      <c r="I13" s="95"/>
      <c r="J13" s="84"/>
      <c r="K13" s="86"/>
      <c r="L13" s="84"/>
      <c r="M13" s="95"/>
      <c r="N13" s="84"/>
      <c r="O13" s="86"/>
      <c r="P13" s="84"/>
      <c r="Q13" s="86"/>
      <c r="R13" s="114"/>
      <c r="S13" s="95"/>
      <c r="T13" s="84"/>
      <c r="U13" s="86"/>
      <c r="V13" s="84"/>
      <c r="W13" s="86"/>
      <c r="X13" s="84"/>
      <c r="Y13" s="86"/>
      <c r="Z13" s="84"/>
      <c r="AA13" s="86"/>
      <c r="AB13" s="113"/>
      <c r="AC13" s="83"/>
      <c r="AD13" s="84"/>
      <c r="AE13" s="86"/>
      <c r="AF13" s="84"/>
      <c r="AG13" s="86"/>
      <c r="AH13" s="84"/>
      <c r="AI13" s="86"/>
      <c r="AJ13" s="114"/>
      <c r="AK13" s="95"/>
      <c r="AL13" s="89"/>
      <c r="AM13" s="82"/>
      <c r="AN13" s="804"/>
      <c r="AO13" s="77"/>
      <c r="AP13" s="180"/>
      <c r="AQ13" s="807"/>
      <c r="AR13" s="102"/>
      <c r="AS13" s="104"/>
      <c r="AT13" s="114"/>
      <c r="AU13" s="85"/>
      <c r="AV13" s="105"/>
      <c r="AW13" s="106"/>
      <c r="AX13" s="293"/>
      <c r="AY13" s="103"/>
      <c r="AZ13" s="105"/>
      <c r="BA13" s="106"/>
    </row>
    <row r="14" spans="1:53" s="396" customFormat="1" ht="15" thickBot="1">
      <c r="A14" s="381" t="s">
        <v>26</v>
      </c>
      <c r="B14" s="382">
        <f>B10</f>
        <v>22275947</v>
      </c>
      <c r="C14" s="383">
        <f aca="true" t="shared" si="9" ref="C14:W14">C10</f>
        <v>53131380</v>
      </c>
      <c r="D14" s="384">
        <f t="shared" si="9"/>
        <v>1318800</v>
      </c>
      <c r="E14" s="384">
        <f t="shared" si="9"/>
        <v>3715400</v>
      </c>
      <c r="F14" s="382">
        <f t="shared" si="9"/>
        <v>2788023</v>
      </c>
      <c r="G14" s="384">
        <f t="shared" si="9"/>
        <v>7716433</v>
      </c>
      <c r="H14" s="382">
        <f t="shared" si="9"/>
        <v>28518979</v>
      </c>
      <c r="I14" s="385">
        <f t="shared" si="9"/>
        <v>66242229</v>
      </c>
      <c r="J14" s="382">
        <f t="shared" si="9"/>
        <v>5439161</v>
      </c>
      <c r="K14" s="386">
        <f t="shared" si="9"/>
        <v>14998988</v>
      </c>
      <c r="L14" s="382">
        <f t="shared" si="9"/>
        <v>9167083</v>
      </c>
      <c r="M14" s="385">
        <f t="shared" si="9"/>
        <v>27121103</v>
      </c>
      <c r="N14" s="382">
        <f t="shared" si="9"/>
        <v>3071728</v>
      </c>
      <c r="O14" s="386">
        <f t="shared" si="9"/>
        <v>9349865</v>
      </c>
      <c r="P14" s="382">
        <f t="shared" si="9"/>
        <v>2426451</v>
      </c>
      <c r="Q14" s="386">
        <f t="shared" si="9"/>
        <v>6373435</v>
      </c>
      <c r="R14" s="384">
        <f t="shared" si="9"/>
        <v>7506733</v>
      </c>
      <c r="S14" s="385">
        <f t="shared" si="9"/>
        <v>21116523</v>
      </c>
      <c r="T14" s="382">
        <f t="shared" si="9"/>
        <v>3463598</v>
      </c>
      <c r="U14" s="386">
        <f t="shared" si="9"/>
        <v>9344256</v>
      </c>
      <c r="V14" s="382">
        <f t="shared" si="9"/>
        <v>80010818</v>
      </c>
      <c r="W14" s="386">
        <f t="shared" si="9"/>
        <v>220920719</v>
      </c>
      <c r="X14" s="388">
        <f aca="true" t="shared" si="10" ref="X14:AD14">X10</f>
        <v>82636468</v>
      </c>
      <c r="Y14" s="498">
        <f t="shared" si="10"/>
        <v>227837003</v>
      </c>
      <c r="Z14" s="388">
        <f t="shared" si="10"/>
        <v>4211422</v>
      </c>
      <c r="AA14" s="498">
        <f t="shared" si="10"/>
        <v>12225708</v>
      </c>
      <c r="AB14" s="390">
        <f t="shared" si="10"/>
        <v>7677974</v>
      </c>
      <c r="AC14" s="799">
        <f t="shared" si="10"/>
        <v>22299827</v>
      </c>
      <c r="AD14" s="388">
        <f t="shared" si="10"/>
        <v>26447287</v>
      </c>
      <c r="AE14" s="389">
        <f aca="true" t="shared" si="11" ref="AE14:AV14">AE10</f>
        <v>64753896</v>
      </c>
      <c r="AF14" s="388">
        <f t="shared" si="11"/>
        <v>38789633</v>
      </c>
      <c r="AG14" s="498">
        <f t="shared" si="11"/>
        <v>103110452</v>
      </c>
      <c r="AH14" s="388">
        <f t="shared" si="11"/>
        <v>13632584</v>
      </c>
      <c r="AI14" s="498">
        <f t="shared" si="11"/>
        <v>35764712</v>
      </c>
      <c r="AJ14" s="387">
        <f t="shared" si="11"/>
        <v>10848588</v>
      </c>
      <c r="AK14" s="801">
        <f t="shared" si="11"/>
        <v>30084652</v>
      </c>
      <c r="AL14" s="388">
        <f t="shared" si="11"/>
        <v>0</v>
      </c>
      <c r="AM14" s="498">
        <f t="shared" si="11"/>
        <v>0</v>
      </c>
      <c r="AN14" s="805">
        <f t="shared" si="11"/>
        <v>117596629</v>
      </c>
      <c r="AO14" s="499">
        <f t="shared" si="11"/>
        <v>286975141</v>
      </c>
      <c r="AP14" s="391">
        <f t="shared" si="11"/>
        <v>4519836</v>
      </c>
      <c r="AQ14" s="808">
        <f t="shared" si="11"/>
        <v>11472772</v>
      </c>
      <c r="AR14" s="393">
        <f t="shared" si="11"/>
        <v>6326743</v>
      </c>
      <c r="AS14" s="395">
        <f t="shared" si="11"/>
        <v>15239000</v>
      </c>
      <c r="AT14" s="392">
        <f t="shared" si="11"/>
        <v>21110439</v>
      </c>
      <c r="AU14" s="394">
        <f t="shared" si="11"/>
        <v>52468381</v>
      </c>
      <c r="AV14" s="388">
        <f t="shared" si="11"/>
        <v>499784924</v>
      </c>
      <c r="AW14" s="389">
        <f>SUM(C14+E14+G14+I14+K14+M14+O14+Q14+S14+U14+W14+Y14+AA14+AC14+AE14+AG14+AI14+AK14+AM14+AO14+AQ14+AS14+AU14)</f>
        <v>1302261875</v>
      </c>
      <c r="AX14" s="392">
        <f>AX10</f>
        <v>971473475</v>
      </c>
      <c r="AY14" s="392">
        <f>AY10</f>
        <v>2776281659</v>
      </c>
      <c r="AZ14" s="388">
        <f>AV14+AX14</f>
        <v>1471258399</v>
      </c>
      <c r="BA14" s="389">
        <f>AW14+AY14</f>
        <v>4078543534</v>
      </c>
    </row>
  </sheetData>
  <sheetProtection/>
  <mergeCells count="29">
    <mergeCell ref="T3:U3"/>
    <mergeCell ref="AN3:AO3"/>
    <mergeCell ref="AR3:AS3"/>
    <mergeCell ref="AT3:AU3"/>
    <mergeCell ref="AV3:AW3"/>
    <mergeCell ref="AX3:AY3"/>
    <mergeCell ref="AD3:AE3"/>
    <mergeCell ref="AF3:AG3"/>
    <mergeCell ref="AH3:AI3"/>
    <mergeCell ref="F3:G3"/>
    <mergeCell ref="Z3:AA3"/>
    <mergeCell ref="AP3:AQ3"/>
    <mergeCell ref="AL3:AM3"/>
    <mergeCell ref="J3:K3"/>
    <mergeCell ref="L3:M3"/>
    <mergeCell ref="N3:O3"/>
    <mergeCell ref="AB3:AC3"/>
    <mergeCell ref="P3:Q3"/>
    <mergeCell ref="R3:S3"/>
    <mergeCell ref="H3:I3"/>
    <mergeCell ref="X3:Y3"/>
    <mergeCell ref="A1:AZ1"/>
    <mergeCell ref="A2:AZ2"/>
    <mergeCell ref="A3:A4"/>
    <mergeCell ref="B3:C3"/>
    <mergeCell ref="D3:E3"/>
    <mergeCell ref="AJ3:AK3"/>
    <mergeCell ref="AZ3:BA3"/>
    <mergeCell ref="V3:W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W16" sqref="W16"/>
    </sheetView>
  </sheetViews>
  <sheetFormatPr defaultColWidth="9.140625" defaultRowHeight="15"/>
  <cols>
    <col min="1" max="1" width="29.421875" style="161" customWidth="1"/>
    <col min="2" max="2" width="11.7109375" style="161" bestFit="1" customWidth="1"/>
    <col min="3" max="3" width="12.8515625" style="161" bestFit="1" customWidth="1"/>
    <col min="4" max="4" width="11.7109375" style="161" bestFit="1" customWidth="1"/>
    <col min="5" max="5" width="12.8515625" style="161" bestFit="1" customWidth="1"/>
    <col min="6" max="6" width="11.7109375" style="161" bestFit="1" customWidth="1"/>
    <col min="7" max="7" width="12.8515625" style="161" bestFit="1" customWidth="1"/>
    <col min="8" max="8" width="11.7109375" style="161" bestFit="1" customWidth="1"/>
    <col min="9" max="9" width="12.8515625" style="161" bestFit="1" customWidth="1"/>
    <col min="10" max="10" width="11.7109375" style="161" bestFit="1" customWidth="1"/>
    <col min="11" max="11" width="12.8515625" style="161" bestFit="1" customWidth="1"/>
    <col min="12" max="12" width="11.7109375" style="161" bestFit="1" customWidth="1"/>
    <col min="13" max="13" width="12.8515625" style="161" bestFit="1" customWidth="1"/>
    <col min="14" max="14" width="11.7109375" style="161" bestFit="1" customWidth="1"/>
    <col min="15" max="15" width="12.8515625" style="161" bestFit="1" customWidth="1"/>
    <col min="16" max="16" width="11.7109375" style="161" bestFit="1" customWidth="1"/>
    <col min="17" max="17" width="12.8515625" style="161" bestFit="1" customWidth="1"/>
    <col min="18" max="18" width="11.7109375" style="161" bestFit="1" customWidth="1"/>
    <col min="19" max="19" width="12.8515625" style="161" bestFit="1" customWidth="1"/>
    <col min="20" max="20" width="11.7109375" style="161" bestFit="1" customWidth="1"/>
    <col min="21" max="21" width="12.8515625" style="161" bestFit="1" customWidth="1"/>
    <col min="22" max="22" width="11.7109375" style="161" bestFit="1" customWidth="1"/>
    <col min="23" max="23" width="12.8515625" style="161" bestFit="1" customWidth="1"/>
    <col min="24" max="24" width="11.7109375" style="161" bestFit="1" customWidth="1"/>
    <col min="25" max="25" width="12.8515625" style="161" bestFit="1" customWidth="1"/>
    <col min="26" max="26" width="11.7109375" style="161" bestFit="1" customWidth="1"/>
    <col min="27" max="27" width="12.8515625" style="161" bestFit="1" customWidth="1"/>
    <col min="28" max="28" width="11.7109375" style="161" bestFit="1" customWidth="1"/>
    <col min="29" max="29" width="12.8515625" style="161" bestFit="1" customWidth="1"/>
    <col min="30" max="30" width="11.7109375" style="161" bestFit="1" customWidth="1"/>
    <col min="31" max="31" width="12.8515625" style="161" bestFit="1" customWidth="1"/>
    <col min="32" max="32" width="11.7109375" style="161" bestFit="1" customWidth="1"/>
    <col min="33" max="33" width="12.8515625" style="161" bestFit="1" customWidth="1"/>
    <col min="34" max="34" width="11.7109375" style="161" bestFit="1" customWidth="1"/>
    <col min="35" max="35" width="12.8515625" style="161" bestFit="1" customWidth="1"/>
    <col min="36" max="36" width="11.7109375" style="161" bestFit="1" customWidth="1"/>
    <col min="37" max="37" width="12.8515625" style="161" bestFit="1" customWidth="1"/>
    <col min="38" max="38" width="11.421875" style="161" bestFit="1" customWidth="1"/>
    <col min="39" max="39" width="12.8515625" style="161" bestFit="1" customWidth="1"/>
    <col min="40" max="40" width="11.7109375" style="161" bestFit="1" customWidth="1"/>
    <col min="41" max="41" width="12.8515625" style="161" bestFit="1" customWidth="1"/>
    <col min="42" max="42" width="11.7109375" style="161" bestFit="1" customWidth="1"/>
    <col min="43" max="43" width="12.8515625" style="161" bestFit="1" customWidth="1"/>
    <col min="44" max="44" width="11.7109375" style="161" bestFit="1" customWidth="1"/>
    <col min="45" max="45" width="12.8515625" style="161" bestFit="1" customWidth="1"/>
    <col min="46" max="46" width="11.7109375" style="161" bestFit="1" customWidth="1"/>
    <col min="47" max="47" width="12.8515625" style="161" bestFit="1" customWidth="1"/>
    <col min="48" max="48" width="11.7109375" style="161" bestFit="1" customWidth="1"/>
    <col min="49" max="49" width="12.8515625" style="161" bestFit="1" customWidth="1"/>
    <col min="50" max="50" width="11.7109375" style="161" bestFit="1" customWidth="1"/>
    <col min="51" max="51" width="12.8515625" style="161" bestFit="1" customWidth="1"/>
    <col min="52" max="52" width="11.7109375" style="161" bestFit="1" customWidth="1"/>
    <col min="53" max="53" width="12.8515625" style="161" bestFit="1" customWidth="1"/>
    <col min="54" max="16384" width="9.140625" style="161" customWidth="1"/>
  </cols>
  <sheetData>
    <row r="1" spans="1:52" s="175" customFormat="1" ht="14.25">
      <c r="A1" s="1155" t="s">
        <v>113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  <c r="T1" s="1155"/>
      <c r="U1" s="1155"/>
      <c r="V1" s="1155"/>
      <c r="W1" s="1155"/>
      <c r="X1" s="1155"/>
      <c r="Y1" s="1155"/>
      <c r="Z1" s="1155"/>
      <c r="AA1" s="1155"/>
      <c r="AB1" s="1155"/>
      <c r="AC1" s="1155"/>
      <c r="AD1" s="1155"/>
      <c r="AE1" s="1155"/>
      <c r="AF1" s="1155"/>
      <c r="AG1" s="1155"/>
      <c r="AH1" s="1155"/>
      <c r="AI1" s="1155"/>
      <c r="AJ1" s="1155"/>
      <c r="AK1" s="1155"/>
      <c r="AL1" s="1155"/>
      <c r="AM1" s="1155"/>
      <c r="AN1" s="1155"/>
      <c r="AO1" s="1155"/>
      <c r="AP1" s="1155"/>
      <c r="AQ1" s="1155"/>
      <c r="AR1" s="1155"/>
      <c r="AS1" s="1155"/>
      <c r="AT1" s="1155"/>
      <c r="AU1" s="1155"/>
      <c r="AV1" s="1155"/>
      <c r="AW1" s="1155"/>
      <c r="AX1" s="1155"/>
      <c r="AY1" s="1155"/>
      <c r="AZ1" s="1155"/>
    </row>
    <row r="2" spans="1:52" s="397" customFormat="1" ht="14.25" thickBot="1">
      <c r="A2" s="1192" t="s">
        <v>59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192"/>
      <c r="AX2" s="1192"/>
      <c r="AY2" s="1192"/>
      <c r="AZ2" s="1192"/>
    </row>
    <row r="3" spans="1:53" ht="39" customHeight="1" thickBot="1">
      <c r="A3" s="1193" t="s">
        <v>0</v>
      </c>
      <c r="B3" s="1195" t="s">
        <v>117</v>
      </c>
      <c r="C3" s="1196"/>
      <c r="D3" s="1186" t="s">
        <v>118</v>
      </c>
      <c r="E3" s="1187"/>
      <c r="F3" s="1186" t="s">
        <v>119</v>
      </c>
      <c r="G3" s="1187"/>
      <c r="H3" s="1186" t="s">
        <v>120</v>
      </c>
      <c r="I3" s="1187"/>
      <c r="J3" s="1186" t="s">
        <v>121</v>
      </c>
      <c r="K3" s="1187"/>
      <c r="L3" s="1186" t="s">
        <v>122</v>
      </c>
      <c r="M3" s="1187"/>
      <c r="N3" s="1188" t="s">
        <v>302</v>
      </c>
      <c r="O3" s="1189"/>
      <c r="P3" s="1188" t="s">
        <v>124</v>
      </c>
      <c r="Q3" s="1189"/>
      <c r="R3" s="1186" t="s">
        <v>125</v>
      </c>
      <c r="S3" s="1197"/>
      <c r="T3" s="1187" t="s">
        <v>126</v>
      </c>
      <c r="U3" s="1187"/>
      <c r="V3" s="1187" t="s">
        <v>127</v>
      </c>
      <c r="W3" s="1187"/>
      <c r="X3" s="1186" t="s">
        <v>128</v>
      </c>
      <c r="Y3" s="1187"/>
      <c r="Z3" s="1186" t="s">
        <v>129</v>
      </c>
      <c r="AA3" s="1187"/>
      <c r="AB3" s="1186" t="s">
        <v>130</v>
      </c>
      <c r="AC3" s="1187"/>
      <c r="AD3" s="1190" t="s">
        <v>131</v>
      </c>
      <c r="AE3" s="1191"/>
      <c r="AF3" s="1186" t="s">
        <v>132</v>
      </c>
      <c r="AG3" s="1187"/>
      <c r="AH3" s="1186" t="s">
        <v>133</v>
      </c>
      <c r="AI3" s="1187"/>
      <c r="AJ3" s="1186" t="s">
        <v>134</v>
      </c>
      <c r="AK3" s="1187"/>
      <c r="AL3" s="1190" t="s">
        <v>135</v>
      </c>
      <c r="AM3" s="1191"/>
      <c r="AN3" s="1186" t="s">
        <v>136</v>
      </c>
      <c r="AO3" s="1187"/>
      <c r="AP3" s="1186" t="s">
        <v>137</v>
      </c>
      <c r="AQ3" s="1187"/>
      <c r="AR3" s="1186" t="s">
        <v>138</v>
      </c>
      <c r="AS3" s="1187"/>
      <c r="AT3" s="1186" t="s">
        <v>139</v>
      </c>
      <c r="AU3" s="1187"/>
      <c r="AV3" s="1186" t="s">
        <v>1</v>
      </c>
      <c r="AW3" s="1187"/>
      <c r="AX3" s="1190" t="s">
        <v>140</v>
      </c>
      <c r="AY3" s="1191"/>
      <c r="AZ3" s="1190" t="s">
        <v>2</v>
      </c>
      <c r="BA3" s="1198"/>
    </row>
    <row r="4" spans="1:53" s="397" customFormat="1" ht="14.25" thickBot="1">
      <c r="A4" s="1194"/>
      <c r="B4" s="373" t="s">
        <v>297</v>
      </c>
      <c r="C4" s="374" t="s">
        <v>298</v>
      </c>
      <c r="D4" s="373" t="s">
        <v>297</v>
      </c>
      <c r="E4" s="374" t="s">
        <v>298</v>
      </c>
      <c r="F4" s="373" t="s">
        <v>297</v>
      </c>
      <c r="G4" s="374" t="s">
        <v>298</v>
      </c>
      <c r="H4" s="373" t="s">
        <v>297</v>
      </c>
      <c r="I4" s="374" t="s">
        <v>298</v>
      </c>
      <c r="J4" s="373" t="s">
        <v>297</v>
      </c>
      <c r="K4" s="374" t="s">
        <v>298</v>
      </c>
      <c r="L4" s="373" t="s">
        <v>297</v>
      </c>
      <c r="M4" s="374" t="s">
        <v>298</v>
      </c>
      <c r="N4" s="373" t="s">
        <v>297</v>
      </c>
      <c r="O4" s="374" t="s">
        <v>298</v>
      </c>
      <c r="P4" s="373" t="s">
        <v>297</v>
      </c>
      <c r="Q4" s="374" t="s">
        <v>298</v>
      </c>
      <c r="R4" s="373" t="s">
        <v>297</v>
      </c>
      <c r="S4" s="375" t="s">
        <v>298</v>
      </c>
      <c r="T4" s="374" t="s">
        <v>297</v>
      </c>
      <c r="U4" s="374" t="s">
        <v>298</v>
      </c>
      <c r="V4" s="373" t="s">
        <v>297</v>
      </c>
      <c r="W4" s="374" t="s">
        <v>298</v>
      </c>
      <c r="X4" s="373" t="s">
        <v>297</v>
      </c>
      <c r="Y4" s="374" t="s">
        <v>298</v>
      </c>
      <c r="Z4" s="373" t="s">
        <v>297</v>
      </c>
      <c r="AA4" s="374" t="s">
        <v>298</v>
      </c>
      <c r="AB4" s="373" t="s">
        <v>297</v>
      </c>
      <c r="AC4" s="374" t="s">
        <v>298</v>
      </c>
      <c r="AD4" s="373" t="s">
        <v>297</v>
      </c>
      <c r="AE4" s="374" t="s">
        <v>298</v>
      </c>
      <c r="AF4" s="373" t="s">
        <v>297</v>
      </c>
      <c r="AG4" s="374" t="s">
        <v>298</v>
      </c>
      <c r="AH4" s="373" t="s">
        <v>297</v>
      </c>
      <c r="AI4" s="374" t="s">
        <v>298</v>
      </c>
      <c r="AJ4" s="373" t="s">
        <v>297</v>
      </c>
      <c r="AK4" s="374" t="s">
        <v>298</v>
      </c>
      <c r="AL4" s="373" t="s">
        <v>297</v>
      </c>
      <c r="AM4" s="374" t="s">
        <v>298</v>
      </c>
      <c r="AN4" s="373" t="s">
        <v>297</v>
      </c>
      <c r="AO4" s="374" t="s">
        <v>298</v>
      </c>
      <c r="AP4" s="373" t="s">
        <v>297</v>
      </c>
      <c r="AQ4" s="374" t="s">
        <v>298</v>
      </c>
      <c r="AR4" s="373" t="s">
        <v>297</v>
      </c>
      <c r="AS4" s="374" t="s">
        <v>298</v>
      </c>
      <c r="AT4" s="373" t="s">
        <v>297</v>
      </c>
      <c r="AU4" s="374" t="s">
        <v>298</v>
      </c>
      <c r="AV4" s="373" t="s">
        <v>297</v>
      </c>
      <c r="AW4" s="374" t="s">
        <v>298</v>
      </c>
      <c r="AX4" s="373" t="s">
        <v>297</v>
      </c>
      <c r="AY4" s="374" t="s">
        <v>298</v>
      </c>
      <c r="AZ4" s="373" t="s">
        <v>297</v>
      </c>
      <c r="BA4" s="375" t="s">
        <v>298</v>
      </c>
    </row>
    <row r="5" spans="1:53" s="144" customFormat="1" ht="14.25">
      <c r="A5" s="286" t="s">
        <v>60</v>
      </c>
      <c r="B5" s="158"/>
      <c r="C5" s="156"/>
      <c r="D5" s="158"/>
      <c r="E5" s="156"/>
      <c r="F5" s="158"/>
      <c r="G5" s="156"/>
      <c r="H5" s="158"/>
      <c r="I5" s="156"/>
      <c r="J5" s="158"/>
      <c r="K5" s="156"/>
      <c r="L5" s="158"/>
      <c r="M5" s="156"/>
      <c r="N5" s="158"/>
      <c r="O5" s="156"/>
      <c r="P5" s="155"/>
      <c r="Q5" s="156"/>
      <c r="R5" s="158"/>
      <c r="S5" s="156"/>
      <c r="T5" s="155"/>
      <c r="U5" s="156"/>
      <c r="V5" s="155"/>
      <c r="W5" s="159"/>
      <c r="X5" s="158"/>
      <c r="Y5" s="159"/>
      <c r="Z5" s="158"/>
      <c r="AA5" s="156"/>
      <c r="AB5" s="158"/>
      <c r="AC5" s="159"/>
      <c r="AD5" s="158"/>
      <c r="AE5" s="156"/>
      <c r="AF5" s="158"/>
      <c r="AG5" s="156"/>
      <c r="AH5" s="158"/>
      <c r="AI5" s="156"/>
      <c r="AJ5" s="158"/>
      <c r="AK5" s="156"/>
      <c r="AL5" s="158"/>
      <c r="AM5" s="156"/>
      <c r="AN5" s="158"/>
      <c r="AO5" s="156"/>
      <c r="AP5" s="158"/>
      <c r="AQ5" s="156"/>
      <c r="AR5" s="158"/>
      <c r="AS5" s="156"/>
      <c r="AT5" s="158"/>
      <c r="AU5" s="156"/>
      <c r="AV5" s="158"/>
      <c r="AW5" s="156"/>
      <c r="AX5" s="158"/>
      <c r="AY5" s="156"/>
      <c r="AZ5" s="158"/>
      <c r="BA5" s="160"/>
    </row>
    <row r="6" spans="1:53" s="144" customFormat="1" ht="14.25">
      <c r="A6" s="162" t="s">
        <v>61</v>
      </c>
      <c r="B6" s="290">
        <v>891040</v>
      </c>
      <c r="C6" s="93">
        <v>2211738</v>
      </c>
      <c r="D6" s="84">
        <v>6942</v>
      </c>
      <c r="E6" s="85">
        <v>16257</v>
      </c>
      <c r="F6" s="84">
        <v>37050</v>
      </c>
      <c r="G6" s="85">
        <v>94102</v>
      </c>
      <c r="H6" s="84">
        <v>677621</v>
      </c>
      <c r="I6" s="85">
        <v>1563580</v>
      </c>
      <c r="J6" s="84">
        <v>351016</v>
      </c>
      <c r="K6" s="85">
        <v>970587</v>
      </c>
      <c r="L6" s="84">
        <v>469845</v>
      </c>
      <c r="M6" s="85">
        <v>1142233</v>
      </c>
      <c r="N6" s="84">
        <v>48700</v>
      </c>
      <c r="O6" s="85">
        <v>138514</v>
      </c>
      <c r="P6" s="114">
        <v>144542</v>
      </c>
      <c r="Q6" s="85">
        <v>364521</v>
      </c>
      <c r="R6" s="84">
        <v>377788</v>
      </c>
      <c r="S6" s="85">
        <v>1023617</v>
      </c>
      <c r="T6" s="114">
        <v>100748</v>
      </c>
      <c r="U6" s="85">
        <v>267887</v>
      </c>
      <c r="V6" s="114">
        <v>2572629</v>
      </c>
      <c r="W6" s="95">
        <v>7836425</v>
      </c>
      <c r="X6" s="84">
        <v>3181827</v>
      </c>
      <c r="Y6" s="95">
        <v>7779926</v>
      </c>
      <c r="Z6" s="813">
        <v>110372</v>
      </c>
      <c r="AA6" s="99">
        <v>344719</v>
      </c>
      <c r="AB6" s="84">
        <v>323607</v>
      </c>
      <c r="AC6" s="95">
        <v>725446</v>
      </c>
      <c r="AD6" s="84">
        <v>909735</v>
      </c>
      <c r="AE6" s="85">
        <v>2025456</v>
      </c>
      <c r="AF6" s="84">
        <v>1799066</v>
      </c>
      <c r="AG6" s="85">
        <v>4793660</v>
      </c>
      <c r="AH6" s="84">
        <v>460401</v>
      </c>
      <c r="AI6" s="85">
        <v>1182201</v>
      </c>
      <c r="AJ6" s="84">
        <v>255026</v>
      </c>
      <c r="AK6" s="85">
        <v>754618</v>
      </c>
      <c r="AL6" s="398"/>
      <c r="AM6" s="85"/>
      <c r="AN6" s="183">
        <v>2523718</v>
      </c>
      <c r="AO6" s="182">
        <v>6148041</v>
      </c>
      <c r="AP6" s="399">
        <v>206091</v>
      </c>
      <c r="AQ6" s="101">
        <v>524557</v>
      </c>
      <c r="AR6" s="102">
        <v>244946</v>
      </c>
      <c r="AS6" s="103">
        <v>610736</v>
      </c>
      <c r="AT6" s="84">
        <v>1715602</v>
      </c>
      <c r="AU6" s="85">
        <v>4133316</v>
      </c>
      <c r="AV6" s="105">
        <f aca="true" t="shared" si="0" ref="AV6:AW12">SUM(B6+D6+F6+H6+J6+L6+N6+P6+R6+T6+V6+X6+Z6+AB6+AD6+AF6+AH6+AJ6+AL6+AN6+AP6+AR6+AT6)</f>
        <v>17408312</v>
      </c>
      <c r="AW6" s="115">
        <f t="shared" si="0"/>
        <v>44652137</v>
      </c>
      <c r="AX6" s="102">
        <v>29770955</v>
      </c>
      <c r="AY6" s="103">
        <v>66642018</v>
      </c>
      <c r="AZ6" s="105">
        <f aca="true" t="shared" si="1" ref="AZ6:BA12">AV6+AX6</f>
        <v>47179267</v>
      </c>
      <c r="BA6" s="106">
        <f t="shared" si="1"/>
        <v>111294155</v>
      </c>
    </row>
    <row r="7" spans="1:53" s="144" customFormat="1" ht="14.25">
      <c r="A7" s="162" t="s">
        <v>62</v>
      </c>
      <c r="B7" s="290">
        <v>334653</v>
      </c>
      <c r="C7" s="93">
        <v>824239</v>
      </c>
      <c r="D7" s="84">
        <v>3547</v>
      </c>
      <c r="E7" s="85">
        <v>12605</v>
      </c>
      <c r="F7" s="84">
        <v>16557</v>
      </c>
      <c r="G7" s="85">
        <v>49182</v>
      </c>
      <c r="H7" s="84">
        <v>198158</v>
      </c>
      <c r="I7" s="85">
        <v>492111</v>
      </c>
      <c r="J7" s="84">
        <v>129131</v>
      </c>
      <c r="K7" s="85">
        <v>323746</v>
      </c>
      <c r="L7" s="84">
        <v>152051</v>
      </c>
      <c r="M7" s="85">
        <v>416872</v>
      </c>
      <c r="N7" s="84">
        <v>31000</v>
      </c>
      <c r="O7" s="85">
        <v>92060</v>
      </c>
      <c r="P7" s="114">
        <v>41280</v>
      </c>
      <c r="Q7" s="85">
        <v>99712</v>
      </c>
      <c r="R7" s="84">
        <v>127155</v>
      </c>
      <c r="S7" s="85">
        <v>347915</v>
      </c>
      <c r="T7" s="114">
        <v>25013</v>
      </c>
      <c r="U7" s="85">
        <v>66420</v>
      </c>
      <c r="V7" s="114">
        <v>604767</v>
      </c>
      <c r="W7" s="95">
        <v>1575165</v>
      </c>
      <c r="X7" s="84">
        <v>935874</v>
      </c>
      <c r="Y7" s="95">
        <v>2641990</v>
      </c>
      <c r="Z7" s="813">
        <v>51154</v>
      </c>
      <c r="AA7" s="99">
        <v>141780</v>
      </c>
      <c r="AB7" s="84">
        <v>76160</v>
      </c>
      <c r="AC7" s="95">
        <v>212127</v>
      </c>
      <c r="AD7" s="84">
        <v>372728</v>
      </c>
      <c r="AE7" s="85">
        <v>890656</v>
      </c>
      <c r="AF7" s="84">
        <v>647777</v>
      </c>
      <c r="AG7" s="85">
        <v>1686535</v>
      </c>
      <c r="AH7" s="84">
        <v>240866</v>
      </c>
      <c r="AI7" s="85">
        <v>591399</v>
      </c>
      <c r="AJ7" s="84">
        <v>162469</v>
      </c>
      <c r="AK7" s="85">
        <v>462702</v>
      </c>
      <c r="AL7" s="398"/>
      <c r="AM7" s="85"/>
      <c r="AN7" s="183">
        <v>1769370</v>
      </c>
      <c r="AO7" s="182">
        <v>4273550</v>
      </c>
      <c r="AP7" s="399">
        <v>787111</v>
      </c>
      <c r="AQ7" s="101">
        <v>195986</v>
      </c>
      <c r="AR7" s="102">
        <v>150071</v>
      </c>
      <c r="AS7" s="103">
        <v>426348</v>
      </c>
      <c r="AT7" s="84">
        <v>381515</v>
      </c>
      <c r="AU7" s="85">
        <v>870601</v>
      </c>
      <c r="AV7" s="105">
        <f t="shared" si="0"/>
        <v>7238407</v>
      </c>
      <c r="AW7" s="115">
        <f t="shared" si="0"/>
        <v>16693701</v>
      </c>
      <c r="AX7" s="102">
        <v>26433563</v>
      </c>
      <c r="AY7" s="103">
        <v>72986911</v>
      </c>
      <c r="AZ7" s="105">
        <f t="shared" si="1"/>
        <v>33671970</v>
      </c>
      <c r="BA7" s="106">
        <f t="shared" si="1"/>
        <v>89680612</v>
      </c>
    </row>
    <row r="8" spans="1:53" s="144" customFormat="1" ht="14.25">
      <c r="A8" s="162" t="s">
        <v>63</v>
      </c>
      <c r="B8" s="290">
        <v>21657</v>
      </c>
      <c r="C8" s="93">
        <v>57888</v>
      </c>
      <c r="D8" s="84"/>
      <c r="E8" s="85">
        <v>2</v>
      </c>
      <c r="F8" s="84">
        <v>484</v>
      </c>
      <c r="G8" s="85">
        <v>501</v>
      </c>
      <c r="H8" s="84">
        <v>203244</v>
      </c>
      <c r="I8" s="85">
        <v>466222</v>
      </c>
      <c r="J8" s="84">
        <v>1419</v>
      </c>
      <c r="K8" s="85">
        <v>4090</v>
      </c>
      <c r="L8" s="84">
        <v>8912</v>
      </c>
      <c r="M8" s="85">
        <v>25980</v>
      </c>
      <c r="N8" s="84">
        <v>25221</v>
      </c>
      <c r="O8" s="85">
        <v>71311</v>
      </c>
      <c r="P8" s="114">
        <v>962</v>
      </c>
      <c r="Q8" s="85">
        <v>2425</v>
      </c>
      <c r="R8" s="84">
        <v>2775</v>
      </c>
      <c r="S8" s="85">
        <v>8519</v>
      </c>
      <c r="T8" s="114">
        <v>922</v>
      </c>
      <c r="U8" s="85">
        <v>3755</v>
      </c>
      <c r="V8" s="114">
        <v>342101</v>
      </c>
      <c r="W8" s="95">
        <v>985608</v>
      </c>
      <c r="X8" s="84">
        <v>159007</v>
      </c>
      <c r="Y8" s="95">
        <v>448279</v>
      </c>
      <c r="Z8" s="813">
        <v>17645</v>
      </c>
      <c r="AA8" s="99">
        <v>55522</v>
      </c>
      <c r="AB8" s="84">
        <v>26606</v>
      </c>
      <c r="AC8" s="95">
        <v>67634</v>
      </c>
      <c r="AD8" s="84">
        <v>107210</v>
      </c>
      <c r="AE8" s="85">
        <v>282731</v>
      </c>
      <c r="AF8" s="84">
        <v>45842</v>
      </c>
      <c r="AG8" s="85">
        <v>108883</v>
      </c>
      <c r="AH8" s="84">
        <v>51784</v>
      </c>
      <c r="AI8" s="85">
        <v>131821</v>
      </c>
      <c r="AJ8" s="84">
        <v>905</v>
      </c>
      <c r="AK8" s="85">
        <v>2900</v>
      </c>
      <c r="AL8" s="398"/>
      <c r="AM8" s="85"/>
      <c r="AN8" s="183">
        <v>259067</v>
      </c>
      <c r="AO8" s="182">
        <v>706614</v>
      </c>
      <c r="AP8" s="399">
        <v>2249</v>
      </c>
      <c r="AQ8" s="101">
        <v>5040</v>
      </c>
      <c r="AR8" s="102">
        <v>19503</v>
      </c>
      <c r="AS8" s="103">
        <v>40515</v>
      </c>
      <c r="AT8" s="84">
        <v>17800</v>
      </c>
      <c r="AU8" s="85">
        <v>57086</v>
      </c>
      <c r="AV8" s="105">
        <f t="shared" si="0"/>
        <v>1315315</v>
      </c>
      <c r="AW8" s="115">
        <f t="shared" si="0"/>
        <v>3533326</v>
      </c>
      <c r="AX8" s="102">
        <v>869134</v>
      </c>
      <c r="AY8" s="103">
        <v>3580732</v>
      </c>
      <c r="AZ8" s="105">
        <f t="shared" si="1"/>
        <v>2184449</v>
      </c>
      <c r="BA8" s="106">
        <f t="shared" si="1"/>
        <v>7114058</v>
      </c>
    </row>
    <row r="9" spans="1:53" s="403" customFormat="1" ht="14.25">
      <c r="A9" s="163" t="s">
        <v>54</v>
      </c>
      <c r="B9" s="76">
        <f aca="true" t="shared" si="2" ref="B9:G9">SUM(B6:B8)</f>
        <v>1247350</v>
      </c>
      <c r="C9" s="76">
        <f t="shared" si="2"/>
        <v>3093865</v>
      </c>
      <c r="D9" s="105">
        <f t="shared" si="2"/>
        <v>10489</v>
      </c>
      <c r="E9" s="85">
        <f t="shared" si="2"/>
        <v>28864</v>
      </c>
      <c r="F9" s="105">
        <f t="shared" si="2"/>
        <v>54091</v>
      </c>
      <c r="G9" s="85">
        <f t="shared" si="2"/>
        <v>143785</v>
      </c>
      <c r="H9" s="105">
        <f aca="true" t="shared" si="3" ref="H9:O9">SUM(H6:H8)</f>
        <v>1079023</v>
      </c>
      <c r="I9" s="115">
        <f t="shared" si="3"/>
        <v>2521913</v>
      </c>
      <c r="J9" s="105">
        <f t="shared" si="3"/>
        <v>481566</v>
      </c>
      <c r="K9" s="115">
        <f t="shared" si="3"/>
        <v>1298423</v>
      </c>
      <c r="L9" s="105">
        <f t="shared" si="3"/>
        <v>630808</v>
      </c>
      <c r="M9" s="115">
        <f t="shared" si="3"/>
        <v>1585085</v>
      </c>
      <c r="N9" s="105">
        <f t="shared" si="3"/>
        <v>104921</v>
      </c>
      <c r="O9" s="85">
        <f t="shared" si="3"/>
        <v>301885</v>
      </c>
      <c r="P9" s="115">
        <f>SUM(P6:P8)</f>
        <v>186784</v>
      </c>
      <c r="Q9" s="85">
        <f>SUM(Q6:Q8)</f>
        <v>466658</v>
      </c>
      <c r="R9" s="105">
        <f>SUM(R6:R8)</f>
        <v>507718</v>
      </c>
      <c r="S9" s="85">
        <f>SUM(S6:S8)</f>
        <v>1380051</v>
      </c>
      <c r="T9" s="115">
        <f aca="true" t="shared" si="4" ref="T9:AA9">SUM(T6:T8)</f>
        <v>126683</v>
      </c>
      <c r="U9" s="85">
        <f t="shared" si="4"/>
        <v>338062</v>
      </c>
      <c r="V9" s="115">
        <f t="shared" si="4"/>
        <v>3519497</v>
      </c>
      <c r="W9" s="95">
        <f t="shared" si="4"/>
        <v>10397198</v>
      </c>
      <c r="X9" s="105">
        <f t="shared" si="4"/>
        <v>4276708</v>
      </c>
      <c r="Y9" s="116">
        <f t="shared" si="4"/>
        <v>10870195</v>
      </c>
      <c r="Z9" s="105">
        <f t="shared" si="4"/>
        <v>179171</v>
      </c>
      <c r="AA9" s="99">
        <f t="shared" si="4"/>
        <v>542021</v>
      </c>
      <c r="AB9" s="105">
        <f aca="true" t="shared" si="5" ref="AB9:AL9">SUM(AB6:AB8)</f>
        <v>426373</v>
      </c>
      <c r="AC9" s="95">
        <f t="shared" si="5"/>
        <v>1005207</v>
      </c>
      <c r="AD9" s="105">
        <f t="shared" si="5"/>
        <v>1389673</v>
      </c>
      <c r="AE9" s="85">
        <f t="shared" si="5"/>
        <v>3198843</v>
      </c>
      <c r="AF9" s="105">
        <f t="shared" si="5"/>
        <v>2492685</v>
      </c>
      <c r="AG9" s="115">
        <f t="shared" si="5"/>
        <v>6589078</v>
      </c>
      <c r="AH9" s="105">
        <f t="shared" si="5"/>
        <v>753051</v>
      </c>
      <c r="AI9" s="85">
        <f t="shared" si="5"/>
        <v>1905421</v>
      </c>
      <c r="AJ9" s="105">
        <f t="shared" si="5"/>
        <v>418400</v>
      </c>
      <c r="AK9" s="115">
        <f t="shared" si="5"/>
        <v>1220220</v>
      </c>
      <c r="AL9" s="105">
        <f t="shared" si="5"/>
        <v>0</v>
      </c>
      <c r="AM9" s="85">
        <f>AL9</f>
        <v>0</v>
      </c>
      <c r="AN9" s="105">
        <f aca="true" t="shared" si="6" ref="AN9:AS9">SUM(AN6:AN8)</f>
        <v>4552155</v>
      </c>
      <c r="AO9" s="115">
        <f t="shared" si="6"/>
        <v>11128205</v>
      </c>
      <c r="AP9" s="105">
        <f t="shared" si="6"/>
        <v>995451</v>
      </c>
      <c r="AQ9" s="115">
        <f t="shared" si="6"/>
        <v>725583</v>
      </c>
      <c r="AR9" s="401">
        <f t="shared" si="6"/>
        <v>414520</v>
      </c>
      <c r="AS9" s="103">
        <f t="shared" si="6"/>
        <v>1077599</v>
      </c>
      <c r="AT9" s="401">
        <f>SUM(AT6:AT8)</f>
        <v>2114917</v>
      </c>
      <c r="AU9" s="166">
        <f>SUM(AU6:AU8)</f>
        <v>5061003</v>
      </c>
      <c r="AV9" s="105">
        <f t="shared" si="0"/>
        <v>25962034</v>
      </c>
      <c r="AW9" s="115">
        <f t="shared" si="0"/>
        <v>64879164</v>
      </c>
      <c r="AX9" s="402">
        <f>SUM(AX6:AX8)</f>
        <v>57073652</v>
      </c>
      <c r="AY9" s="402">
        <f>SUM(AY6:AY8)</f>
        <v>143209661</v>
      </c>
      <c r="AZ9" s="105">
        <f t="shared" si="1"/>
        <v>83035686</v>
      </c>
      <c r="BA9" s="106">
        <f t="shared" si="1"/>
        <v>208088825</v>
      </c>
    </row>
    <row r="10" spans="1:53" s="144" customFormat="1" ht="14.25">
      <c r="A10" s="162" t="s">
        <v>64</v>
      </c>
      <c r="B10" s="76"/>
      <c r="C10" s="93">
        <f>B10</f>
        <v>0</v>
      </c>
      <c r="D10" s="105"/>
      <c r="E10" s="85">
        <f>D10</f>
        <v>0</v>
      </c>
      <c r="F10" s="105"/>
      <c r="G10" s="85">
        <f>F10</f>
        <v>0</v>
      </c>
      <c r="H10" s="105"/>
      <c r="I10" s="85">
        <f>H10</f>
        <v>0</v>
      </c>
      <c r="J10" s="105"/>
      <c r="K10" s="85">
        <f>J10</f>
        <v>0</v>
      </c>
      <c r="L10" s="105"/>
      <c r="M10" s="85">
        <f>L10</f>
        <v>0</v>
      </c>
      <c r="N10" s="105"/>
      <c r="O10" s="85">
        <f>N10</f>
        <v>0</v>
      </c>
      <c r="P10" s="115"/>
      <c r="Q10" s="85">
        <f>P10</f>
        <v>0</v>
      </c>
      <c r="R10" s="105"/>
      <c r="S10" s="85">
        <f>R10</f>
        <v>0</v>
      </c>
      <c r="T10" s="115"/>
      <c r="U10" s="85">
        <f>T10</f>
        <v>0</v>
      </c>
      <c r="V10" s="115"/>
      <c r="W10" s="95">
        <f>V10</f>
        <v>0</v>
      </c>
      <c r="X10" s="105"/>
      <c r="Y10" s="95">
        <f>X10</f>
        <v>0</v>
      </c>
      <c r="Z10" s="813"/>
      <c r="AA10" s="99">
        <f>Z10</f>
        <v>0</v>
      </c>
      <c r="AB10" s="105"/>
      <c r="AC10" s="95">
        <f>AB10</f>
        <v>0</v>
      </c>
      <c r="AD10" s="812"/>
      <c r="AE10" s="85">
        <f>AD10</f>
        <v>0</v>
      </c>
      <c r="AF10" s="105"/>
      <c r="AG10" s="85">
        <f>AF10</f>
        <v>0</v>
      </c>
      <c r="AH10" s="105"/>
      <c r="AI10" s="85">
        <f>AH10</f>
        <v>0</v>
      </c>
      <c r="AJ10" s="105"/>
      <c r="AK10" s="85">
        <f>AJ10</f>
        <v>0</v>
      </c>
      <c r="AL10" s="398"/>
      <c r="AM10" s="85">
        <f>AL10</f>
        <v>0</v>
      </c>
      <c r="AN10" s="84"/>
      <c r="AO10" s="182">
        <f>AN10</f>
        <v>0</v>
      </c>
      <c r="AP10" s="399"/>
      <c r="AQ10" s="101">
        <f>AP10</f>
        <v>0</v>
      </c>
      <c r="AR10" s="102"/>
      <c r="AS10" s="103">
        <f>AR10</f>
        <v>0</v>
      </c>
      <c r="AT10" s="105"/>
      <c r="AU10" s="85">
        <f>AT10</f>
        <v>0</v>
      </c>
      <c r="AV10" s="105">
        <f t="shared" si="0"/>
        <v>0</v>
      </c>
      <c r="AW10" s="115">
        <f t="shared" si="0"/>
        <v>0</v>
      </c>
      <c r="AX10" s="105"/>
      <c r="AY10" s="103">
        <f>AX10</f>
        <v>0</v>
      </c>
      <c r="AZ10" s="105">
        <f t="shared" si="1"/>
        <v>0</v>
      </c>
      <c r="BA10" s="106">
        <f t="shared" si="1"/>
        <v>0</v>
      </c>
    </row>
    <row r="11" spans="1:53" s="144" customFormat="1" ht="14.25">
      <c r="A11" s="162" t="s">
        <v>65</v>
      </c>
      <c r="B11" s="290"/>
      <c r="C11" s="93">
        <f>B11</f>
        <v>0</v>
      </c>
      <c r="D11" s="84"/>
      <c r="E11" s="85">
        <f>D11</f>
        <v>0</v>
      </c>
      <c r="F11" s="84"/>
      <c r="G11" s="85">
        <f>F11</f>
        <v>0</v>
      </c>
      <c r="H11" s="84">
        <v>1237</v>
      </c>
      <c r="I11" s="85">
        <v>3841</v>
      </c>
      <c r="J11" s="84"/>
      <c r="K11" s="85">
        <f>J11</f>
        <v>0</v>
      </c>
      <c r="L11" s="84"/>
      <c r="M11" s="85">
        <f>L11</f>
        <v>0</v>
      </c>
      <c r="N11" s="84"/>
      <c r="O11" s="85">
        <f>N11</f>
        <v>0</v>
      </c>
      <c r="P11" s="114"/>
      <c r="Q11" s="85">
        <f>P11</f>
        <v>0</v>
      </c>
      <c r="R11" s="84"/>
      <c r="S11" s="85">
        <f>R11</f>
        <v>0</v>
      </c>
      <c r="T11" s="114"/>
      <c r="U11" s="85">
        <f>T11</f>
        <v>0</v>
      </c>
      <c r="V11" s="114"/>
      <c r="W11" s="95">
        <f>V11</f>
        <v>0</v>
      </c>
      <c r="X11" s="84"/>
      <c r="Y11" s="95">
        <f>X11</f>
        <v>0</v>
      </c>
      <c r="Z11" s="84"/>
      <c r="AA11" s="99">
        <f>Z11</f>
        <v>0</v>
      </c>
      <c r="AB11" s="84"/>
      <c r="AC11" s="95">
        <f>AB11</f>
        <v>0</v>
      </c>
      <c r="AD11" s="84"/>
      <c r="AE11" s="85">
        <f>AD11</f>
        <v>0</v>
      </c>
      <c r="AF11" s="84"/>
      <c r="AG11" s="85">
        <f>AF11</f>
        <v>0</v>
      </c>
      <c r="AH11" s="84"/>
      <c r="AI11" s="85">
        <f>AH11</f>
        <v>0</v>
      </c>
      <c r="AJ11" s="84"/>
      <c r="AK11" s="85">
        <f>AJ11</f>
        <v>0</v>
      </c>
      <c r="AL11" s="398"/>
      <c r="AM11" s="85">
        <f>AL11</f>
        <v>0</v>
      </c>
      <c r="AN11" s="84"/>
      <c r="AO11" s="182">
        <f>AN11</f>
        <v>0</v>
      </c>
      <c r="AP11" s="399"/>
      <c r="AQ11" s="101">
        <f>AP11</f>
        <v>0</v>
      </c>
      <c r="AR11" s="102"/>
      <c r="AS11" s="103">
        <f>AR11</f>
        <v>0</v>
      </c>
      <c r="AT11" s="84">
        <v>899</v>
      </c>
      <c r="AU11" s="85">
        <v>3015</v>
      </c>
      <c r="AV11" s="105">
        <f t="shared" si="0"/>
        <v>2136</v>
      </c>
      <c r="AW11" s="115">
        <f t="shared" si="0"/>
        <v>6856</v>
      </c>
      <c r="AX11" s="102">
        <v>421199</v>
      </c>
      <c r="AY11" s="103">
        <v>421199</v>
      </c>
      <c r="AZ11" s="105">
        <f t="shared" si="1"/>
        <v>423335</v>
      </c>
      <c r="BA11" s="106">
        <f t="shared" si="1"/>
        <v>428055</v>
      </c>
    </row>
    <row r="12" spans="1:53" s="403" customFormat="1" ht="14.25">
      <c r="A12" s="163" t="s">
        <v>66</v>
      </c>
      <c r="B12" s="76">
        <f aca="true" t="shared" si="7" ref="B12:G12">B9</f>
        <v>1247350</v>
      </c>
      <c r="C12" s="76">
        <f t="shared" si="7"/>
        <v>3093865</v>
      </c>
      <c r="D12" s="76">
        <f t="shared" si="7"/>
        <v>10489</v>
      </c>
      <c r="E12" s="109">
        <f t="shared" si="7"/>
        <v>28864</v>
      </c>
      <c r="F12" s="76">
        <f t="shared" si="7"/>
        <v>54091</v>
      </c>
      <c r="G12" s="109">
        <f t="shared" si="7"/>
        <v>143785</v>
      </c>
      <c r="H12" s="76">
        <f>H9-H11</f>
        <v>1077786</v>
      </c>
      <c r="I12" s="109">
        <f>I9-I11</f>
        <v>2518072</v>
      </c>
      <c r="J12" s="76">
        <f>J9</f>
        <v>481566</v>
      </c>
      <c r="K12" s="76">
        <f>K9</f>
        <v>1298423</v>
      </c>
      <c r="L12" s="76">
        <f>L9</f>
        <v>630808</v>
      </c>
      <c r="M12" s="109">
        <f>M12</f>
        <v>0</v>
      </c>
      <c r="N12" s="76">
        <f>N9</f>
        <v>104921</v>
      </c>
      <c r="O12" s="109">
        <f>O12</f>
        <v>0</v>
      </c>
      <c r="P12" s="108">
        <f>P9</f>
        <v>186784</v>
      </c>
      <c r="Q12" s="109">
        <f>Q9</f>
        <v>466658</v>
      </c>
      <c r="R12" s="76">
        <f>R9</f>
        <v>507718</v>
      </c>
      <c r="S12" s="109">
        <f>S12</f>
        <v>0</v>
      </c>
      <c r="T12" s="108">
        <f>T9</f>
        <v>126683</v>
      </c>
      <c r="U12" s="109">
        <f>U9</f>
        <v>338062</v>
      </c>
      <c r="V12" s="76">
        <f>V9</f>
        <v>3519497</v>
      </c>
      <c r="W12" s="110">
        <f>W12</f>
        <v>0</v>
      </c>
      <c r="X12" s="76">
        <f aca="true" t="shared" si="8" ref="X12:AE12">X9</f>
        <v>4276708</v>
      </c>
      <c r="Y12" s="110">
        <f t="shared" si="8"/>
        <v>10870195</v>
      </c>
      <c r="Z12" s="76">
        <f t="shared" si="8"/>
        <v>179171</v>
      </c>
      <c r="AA12" s="660">
        <f t="shared" si="8"/>
        <v>542021</v>
      </c>
      <c r="AB12" s="76">
        <f t="shared" si="8"/>
        <v>426373</v>
      </c>
      <c r="AC12" s="110">
        <f t="shared" si="8"/>
        <v>1005207</v>
      </c>
      <c r="AD12" s="76">
        <f t="shared" si="8"/>
        <v>1389673</v>
      </c>
      <c r="AE12" s="109">
        <f t="shared" si="8"/>
        <v>3198843</v>
      </c>
      <c r="AF12" s="105">
        <f aca="true" t="shared" si="9" ref="AF12:AL12">AF9</f>
        <v>2492685</v>
      </c>
      <c r="AG12" s="105">
        <f t="shared" si="9"/>
        <v>6589078</v>
      </c>
      <c r="AH12" s="105">
        <f t="shared" si="9"/>
        <v>753051</v>
      </c>
      <c r="AI12" s="109">
        <f t="shared" si="9"/>
        <v>1905421</v>
      </c>
      <c r="AJ12" s="105">
        <f t="shared" si="9"/>
        <v>418400</v>
      </c>
      <c r="AK12" s="105">
        <f t="shared" si="9"/>
        <v>1220220</v>
      </c>
      <c r="AL12" s="105">
        <f t="shared" si="9"/>
        <v>0</v>
      </c>
      <c r="AM12" s="109">
        <f>AM12</f>
        <v>0</v>
      </c>
      <c r="AN12" s="401">
        <f aca="true" t="shared" si="10" ref="AN12:AS12">AN9</f>
        <v>4552155</v>
      </c>
      <c r="AO12" s="166">
        <f t="shared" si="10"/>
        <v>11128205</v>
      </c>
      <c r="AP12" s="401">
        <f t="shared" si="10"/>
        <v>995451</v>
      </c>
      <c r="AQ12" s="166">
        <f t="shared" si="10"/>
        <v>725583</v>
      </c>
      <c r="AR12" s="401">
        <f t="shared" si="10"/>
        <v>414520</v>
      </c>
      <c r="AS12" s="661">
        <f t="shared" si="10"/>
        <v>1077599</v>
      </c>
      <c r="AT12" s="401">
        <f>AT9-AT11</f>
        <v>2114018</v>
      </c>
      <c r="AU12" s="401">
        <f>AU9-AU11</f>
        <v>5057988</v>
      </c>
      <c r="AV12" s="105">
        <f t="shared" si="0"/>
        <v>25959898</v>
      </c>
      <c r="AW12" s="115">
        <f t="shared" si="0"/>
        <v>5700040</v>
      </c>
      <c r="AX12" s="402">
        <f>AX9-AX11</f>
        <v>56652453</v>
      </c>
      <c r="AY12" s="402">
        <f>AY9-AY11</f>
        <v>142788462</v>
      </c>
      <c r="AZ12" s="105">
        <f t="shared" si="1"/>
        <v>82612351</v>
      </c>
      <c r="BA12" s="106">
        <f t="shared" si="1"/>
        <v>5700040</v>
      </c>
    </row>
    <row r="13" spans="1:53" s="403" customFormat="1" ht="14.25">
      <c r="A13" s="163" t="s">
        <v>300</v>
      </c>
      <c r="B13" s="76"/>
      <c r="C13" s="108"/>
      <c r="D13" s="76"/>
      <c r="E13" s="109"/>
      <c r="F13" s="76"/>
      <c r="G13" s="109"/>
      <c r="H13" s="76"/>
      <c r="I13" s="109"/>
      <c r="J13" s="76"/>
      <c r="K13" s="108"/>
      <c r="L13" s="76"/>
      <c r="M13" s="109"/>
      <c r="N13" s="76">
        <v>136</v>
      </c>
      <c r="O13" s="109">
        <v>3493</v>
      </c>
      <c r="P13" s="108">
        <v>17639</v>
      </c>
      <c r="Q13" s="109">
        <v>31765</v>
      </c>
      <c r="R13" s="76"/>
      <c r="S13" s="109"/>
      <c r="T13" s="108"/>
      <c r="U13" s="109"/>
      <c r="V13" s="108"/>
      <c r="W13" s="110"/>
      <c r="X13" s="76"/>
      <c r="Y13" s="110"/>
      <c r="Z13" s="76"/>
      <c r="AA13" s="660"/>
      <c r="AB13" s="76"/>
      <c r="AC13" s="110"/>
      <c r="AD13" s="76"/>
      <c r="AE13" s="109"/>
      <c r="AF13" s="105"/>
      <c r="AG13" s="115"/>
      <c r="AH13" s="105"/>
      <c r="AI13" s="109"/>
      <c r="AJ13" s="105">
        <v>24252</v>
      </c>
      <c r="AK13" s="115">
        <v>89841</v>
      </c>
      <c r="AL13" s="105"/>
      <c r="AM13" s="109"/>
      <c r="AN13" s="401"/>
      <c r="AO13" s="166"/>
      <c r="AP13" s="401">
        <v>2737</v>
      </c>
      <c r="AQ13" s="166">
        <v>11291</v>
      </c>
      <c r="AR13" s="401"/>
      <c r="AS13" s="661"/>
      <c r="AT13" s="401">
        <v>170544</v>
      </c>
      <c r="AU13" s="862">
        <v>361604</v>
      </c>
      <c r="AV13" s="105"/>
      <c r="AW13" s="115"/>
      <c r="AX13" s="402"/>
      <c r="AY13" s="863"/>
      <c r="AZ13" s="105"/>
      <c r="BA13" s="106"/>
    </row>
    <row r="14" spans="1:53" s="403" customFormat="1" ht="14.25">
      <c r="A14" s="163" t="s">
        <v>301</v>
      </c>
      <c r="B14" s="76"/>
      <c r="C14" s="108"/>
      <c r="D14" s="76"/>
      <c r="E14" s="109"/>
      <c r="F14" s="76"/>
      <c r="G14" s="109"/>
      <c r="H14" s="76"/>
      <c r="I14" s="109"/>
      <c r="J14" s="76"/>
      <c r="K14" s="108"/>
      <c r="L14" s="76"/>
      <c r="M14" s="109"/>
      <c r="N14" s="76">
        <v>105057</v>
      </c>
      <c r="O14" s="109">
        <v>305377</v>
      </c>
      <c r="P14" s="108">
        <v>204423</v>
      </c>
      <c r="Q14" s="109">
        <v>498423</v>
      </c>
      <c r="R14" s="76"/>
      <c r="S14" s="109"/>
      <c r="T14" s="108"/>
      <c r="U14" s="109"/>
      <c r="V14" s="108"/>
      <c r="W14" s="110"/>
      <c r="X14" s="76"/>
      <c r="Y14" s="110"/>
      <c r="Z14" s="76"/>
      <c r="AA14" s="660"/>
      <c r="AB14" s="76"/>
      <c r="AC14" s="110"/>
      <c r="AD14" s="76"/>
      <c r="AE14" s="109"/>
      <c r="AF14" s="105"/>
      <c r="AG14" s="115"/>
      <c r="AH14" s="105"/>
      <c r="AI14" s="109"/>
      <c r="AJ14" s="105">
        <f>AJ12+AJ13</f>
        <v>442652</v>
      </c>
      <c r="AK14" s="105">
        <f>AK12+AK13</f>
        <v>1310061</v>
      </c>
      <c r="AL14" s="105"/>
      <c r="AM14" s="109"/>
      <c r="AN14" s="401"/>
      <c r="AO14" s="166"/>
      <c r="AP14" s="401">
        <v>289788</v>
      </c>
      <c r="AQ14" s="166">
        <v>736873</v>
      </c>
      <c r="AR14" s="401"/>
      <c r="AS14" s="661"/>
      <c r="AT14" s="401">
        <v>2284562</v>
      </c>
      <c r="AU14" s="862">
        <v>5419592</v>
      </c>
      <c r="AV14" s="105"/>
      <c r="AW14" s="115"/>
      <c r="AX14" s="402"/>
      <c r="AY14" s="863"/>
      <c r="AZ14" s="105"/>
      <c r="BA14" s="106"/>
    </row>
    <row r="15" spans="1:53" s="144" customFormat="1" ht="14.25">
      <c r="A15" s="163" t="s">
        <v>67</v>
      </c>
      <c r="B15" s="290"/>
      <c r="C15" s="93">
        <f>B15</f>
        <v>0</v>
      </c>
      <c r="D15" s="84"/>
      <c r="E15" s="85">
        <f>D15</f>
        <v>0</v>
      </c>
      <c r="F15" s="84"/>
      <c r="G15" s="85">
        <f>F15</f>
        <v>0</v>
      </c>
      <c r="H15" s="84"/>
      <c r="I15" s="85"/>
      <c r="J15" s="84"/>
      <c r="K15" s="85">
        <f>J15</f>
        <v>0</v>
      </c>
      <c r="L15" s="84"/>
      <c r="M15" s="85">
        <f>L15</f>
        <v>0</v>
      </c>
      <c r="N15" s="84"/>
      <c r="O15" s="85">
        <f>N15</f>
        <v>0</v>
      </c>
      <c r="P15" s="114"/>
      <c r="Q15" s="85">
        <f>P15</f>
        <v>0</v>
      </c>
      <c r="R15" s="84"/>
      <c r="S15" s="85">
        <f>R15</f>
        <v>0</v>
      </c>
      <c r="T15" s="114"/>
      <c r="U15" s="85">
        <f>T15</f>
        <v>0</v>
      </c>
      <c r="V15" s="114"/>
      <c r="W15" s="95">
        <f>V15</f>
        <v>0</v>
      </c>
      <c r="X15" s="84"/>
      <c r="Y15" s="95">
        <f>X15</f>
        <v>0</v>
      </c>
      <c r="Z15" s="84"/>
      <c r="AA15" s="99">
        <f>Z15</f>
        <v>0</v>
      </c>
      <c r="AB15" s="84"/>
      <c r="AC15" s="95">
        <f>AB15</f>
        <v>0</v>
      </c>
      <c r="AD15" s="84"/>
      <c r="AE15" s="85">
        <f>AD15</f>
        <v>0</v>
      </c>
      <c r="AF15" s="84"/>
      <c r="AG15" s="85">
        <f>AF15</f>
        <v>0</v>
      </c>
      <c r="AH15" s="84"/>
      <c r="AI15" s="85">
        <f>AH15</f>
        <v>0</v>
      </c>
      <c r="AJ15" s="84"/>
      <c r="AK15" s="85">
        <f>AJ15</f>
        <v>0</v>
      </c>
      <c r="AL15" s="398"/>
      <c r="AM15" s="85">
        <f aca="true" t="shared" si="11" ref="AM15:AM27">AL15</f>
        <v>0</v>
      </c>
      <c r="AN15" s="84"/>
      <c r="AO15" s="182">
        <f>AN15</f>
        <v>0</v>
      </c>
      <c r="AP15" s="399"/>
      <c r="AQ15" s="101">
        <f>AP15</f>
        <v>0</v>
      </c>
      <c r="AR15" s="102"/>
      <c r="AS15" s="103">
        <f>AR15</f>
        <v>0</v>
      </c>
      <c r="AT15" s="84"/>
      <c r="AU15" s="85"/>
      <c r="AV15" s="105">
        <f aca="true" t="shared" si="12" ref="AV15:AV25">SUM(B15+D15+F15+H15+J15+L15+N15+P15+R15+T15+V15+X15+Z15+AB15+AD15+AF15+AH15+AJ15+AL15+AN15+AP15+AR15+AT15)</f>
        <v>0</v>
      </c>
      <c r="AW15" s="115">
        <f aca="true" t="shared" si="13" ref="AW15:AW25">SUM(C15+E15+G15+I15+K15+M15+O15+Q15+S15+U15+W15+Y15+AA15+AC15+AE15+AG15+AI15+AK15+AM15+AO15+AQ15+AS15+AU15)</f>
        <v>0</v>
      </c>
      <c r="AX15" s="102"/>
      <c r="AY15" s="103">
        <f>AX15</f>
        <v>0</v>
      </c>
      <c r="AZ15" s="105">
        <f aca="true" t="shared" si="14" ref="AZ15:AZ25">AV15+AX15</f>
        <v>0</v>
      </c>
      <c r="BA15" s="106">
        <f aca="true" t="shared" si="15" ref="BA15:BA25">AW15+AY15</f>
        <v>0</v>
      </c>
    </row>
    <row r="16" spans="1:53" s="144" customFormat="1" ht="14.25">
      <c r="A16" s="163" t="s">
        <v>68</v>
      </c>
      <c r="B16" s="290"/>
      <c r="C16" s="93">
        <f>B16</f>
        <v>0</v>
      </c>
      <c r="D16" s="84"/>
      <c r="E16" s="85">
        <f>D16</f>
        <v>0</v>
      </c>
      <c r="F16" s="84"/>
      <c r="G16" s="85">
        <f>F16</f>
        <v>0</v>
      </c>
      <c r="H16" s="84"/>
      <c r="I16" s="85">
        <f>H16</f>
        <v>0</v>
      </c>
      <c r="J16" s="84"/>
      <c r="K16" s="85">
        <f>J16</f>
        <v>0</v>
      </c>
      <c r="L16" s="84"/>
      <c r="M16" s="85">
        <f>L16</f>
        <v>0</v>
      </c>
      <c r="N16" s="84"/>
      <c r="O16" s="85">
        <f>N16</f>
        <v>0</v>
      </c>
      <c r="P16" s="114"/>
      <c r="Q16" s="85">
        <f>P16</f>
        <v>0</v>
      </c>
      <c r="R16" s="84"/>
      <c r="S16" s="85">
        <f>R16</f>
        <v>0</v>
      </c>
      <c r="T16" s="114"/>
      <c r="U16" s="85">
        <f>T16</f>
        <v>0</v>
      </c>
      <c r="V16" s="114"/>
      <c r="W16" s="95">
        <f>V16</f>
        <v>0</v>
      </c>
      <c r="X16" s="84"/>
      <c r="Y16" s="95">
        <f>X16</f>
        <v>0</v>
      </c>
      <c r="Z16" s="84"/>
      <c r="AA16" s="99">
        <f>Z16</f>
        <v>0</v>
      </c>
      <c r="AB16" s="84"/>
      <c r="AC16" s="95">
        <f>AB16</f>
        <v>0</v>
      </c>
      <c r="AD16" s="84"/>
      <c r="AE16" s="85">
        <f>AD16</f>
        <v>0</v>
      </c>
      <c r="AF16" s="84"/>
      <c r="AG16" s="85">
        <f>AF16</f>
        <v>0</v>
      </c>
      <c r="AH16" s="84"/>
      <c r="AI16" s="85">
        <f>AH16</f>
        <v>0</v>
      </c>
      <c r="AJ16" s="84"/>
      <c r="AK16" s="85">
        <f>AJ16</f>
        <v>0</v>
      </c>
      <c r="AL16" s="398"/>
      <c r="AM16" s="85">
        <f t="shared" si="11"/>
        <v>0</v>
      </c>
      <c r="AN16" s="84"/>
      <c r="AO16" s="182">
        <f>AN16</f>
        <v>0</v>
      </c>
      <c r="AP16" s="399"/>
      <c r="AQ16" s="101">
        <f>AP16</f>
        <v>0</v>
      </c>
      <c r="AR16" s="102"/>
      <c r="AS16" s="103">
        <f>AR16</f>
        <v>0</v>
      </c>
      <c r="AT16" s="84"/>
      <c r="AU16" s="85"/>
      <c r="AV16" s="105">
        <f t="shared" si="12"/>
        <v>0</v>
      </c>
      <c r="AW16" s="115">
        <f t="shared" si="13"/>
        <v>0</v>
      </c>
      <c r="AX16" s="102"/>
      <c r="AY16" s="103">
        <f>AX16</f>
        <v>0</v>
      </c>
      <c r="AZ16" s="105">
        <f t="shared" si="14"/>
        <v>0</v>
      </c>
      <c r="BA16" s="106">
        <f t="shared" si="15"/>
        <v>0</v>
      </c>
    </row>
    <row r="17" spans="1:53" s="144" customFormat="1" ht="14.25">
      <c r="A17" s="162" t="s">
        <v>69</v>
      </c>
      <c r="B17" s="76">
        <v>511608</v>
      </c>
      <c r="C17" s="93">
        <v>1398794</v>
      </c>
      <c r="D17" s="105">
        <v>730</v>
      </c>
      <c r="E17" s="85">
        <v>2981</v>
      </c>
      <c r="F17" s="105">
        <v>30709</v>
      </c>
      <c r="G17" s="85">
        <v>73861</v>
      </c>
      <c r="H17" s="105">
        <v>667428</v>
      </c>
      <c r="I17" s="85">
        <v>1527906</v>
      </c>
      <c r="J17" s="105">
        <v>200584</v>
      </c>
      <c r="K17" s="85">
        <v>494490</v>
      </c>
      <c r="L17" s="105">
        <v>345</v>
      </c>
      <c r="M17" s="85">
        <v>493</v>
      </c>
      <c r="N17" s="105">
        <v>62608</v>
      </c>
      <c r="O17" s="85">
        <v>174227</v>
      </c>
      <c r="P17" s="115">
        <v>151980</v>
      </c>
      <c r="Q17" s="85">
        <v>368350</v>
      </c>
      <c r="R17" s="105">
        <v>296328</v>
      </c>
      <c r="S17" s="85">
        <v>797821</v>
      </c>
      <c r="T17" s="115">
        <v>43812</v>
      </c>
      <c r="U17" s="85">
        <v>98072</v>
      </c>
      <c r="V17" s="115">
        <v>553641</v>
      </c>
      <c r="W17" s="95">
        <v>1878001</v>
      </c>
      <c r="X17" s="105">
        <v>725171</v>
      </c>
      <c r="Y17" s="95">
        <v>2327987</v>
      </c>
      <c r="Z17" s="813">
        <v>10521</v>
      </c>
      <c r="AA17" s="99">
        <v>39947</v>
      </c>
      <c r="AB17" s="105">
        <v>15823</v>
      </c>
      <c r="AC17" s="95">
        <v>50728</v>
      </c>
      <c r="AD17" s="812">
        <v>705657</v>
      </c>
      <c r="AE17" s="85">
        <v>1659848</v>
      </c>
      <c r="AF17" s="105">
        <v>632375</v>
      </c>
      <c r="AG17" s="85">
        <v>1877862</v>
      </c>
      <c r="AH17" s="105">
        <v>69023</v>
      </c>
      <c r="AI17" s="85">
        <v>171746</v>
      </c>
      <c r="AJ17" s="105">
        <v>112062</v>
      </c>
      <c r="AK17" s="85">
        <v>979471</v>
      </c>
      <c r="AL17" s="398"/>
      <c r="AM17" s="85">
        <f t="shared" si="11"/>
        <v>0</v>
      </c>
      <c r="AN17" s="183">
        <v>1563743</v>
      </c>
      <c r="AO17" s="182">
        <v>3864532</v>
      </c>
      <c r="AP17" s="399">
        <v>42896</v>
      </c>
      <c r="AQ17" s="101">
        <v>116372</v>
      </c>
      <c r="AR17" s="102">
        <v>2144</v>
      </c>
      <c r="AS17" s="103">
        <v>6950</v>
      </c>
      <c r="AT17" s="105">
        <v>706851</v>
      </c>
      <c r="AU17" s="85">
        <v>1729361</v>
      </c>
      <c r="AV17" s="105">
        <f t="shared" si="12"/>
        <v>7106039</v>
      </c>
      <c r="AW17" s="115">
        <f t="shared" si="13"/>
        <v>19639800</v>
      </c>
      <c r="AX17" s="105">
        <v>56655518</v>
      </c>
      <c r="AY17" s="103">
        <v>142203042</v>
      </c>
      <c r="AZ17" s="105">
        <f t="shared" si="14"/>
        <v>63761557</v>
      </c>
      <c r="BA17" s="106">
        <f t="shared" si="15"/>
        <v>161842842</v>
      </c>
    </row>
    <row r="18" spans="1:53" s="144" customFormat="1" ht="14.25">
      <c r="A18" s="162" t="s">
        <v>6</v>
      </c>
      <c r="B18" s="290">
        <v>56699</v>
      </c>
      <c r="C18" s="93">
        <v>163360</v>
      </c>
      <c r="D18" s="84">
        <v>4082</v>
      </c>
      <c r="E18" s="85">
        <v>11848</v>
      </c>
      <c r="F18" s="84">
        <v>628</v>
      </c>
      <c r="G18" s="85">
        <v>3194</v>
      </c>
      <c r="H18" s="84">
        <v>44045</v>
      </c>
      <c r="I18" s="85">
        <v>116490</v>
      </c>
      <c r="J18" s="84">
        <v>209110</v>
      </c>
      <c r="K18" s="85">
        <v>631380</v>
      </c>
      <c r="L18" s="84">
        <v>625</v>
      </c>
      <c r="M18" s="85">
        <v>1059</v>
      </c>
      <c r="N18" s="84">
        <v>4950</v>
      </c>
      <c r="O18" s="85">
        <v>15029</v>
      </c>
      <c r="P18" s="114">
        <v>18917</v>
      </c>
      <c r="Q18" s="85">
        <v>40373</v>
      </c>
      <c r="R18" s="84">
        <v>161311</v>
      </c>
      <c r="S18" s="85">
        <v>427841</v>
      </c>
      <c r="T18" s="114">
        <v>14121</v>
      </c>
      <c r="U18" s="85">
        <v>41872</v>
      </c>
      <c r="V18" s="114">
        <v>239815</v>
      </c>
      <c r="W18" s="95">
        <v>963601</v>
      </c>
      <c r="X18" s="84">
        <v>208385</v>
      </c>
      <c r="Y18" s="95">
        <v>623758</v>
      </c>
      <c r="Z18" s="813">
        <v>25</v>
      </c>
      <c r="AA18" s="99">
        <v>-110</v>
      </c>
      <c r="AB18" s="84">
        <v>9574</v>
      </c>
      <c r="AC18" s="95">
        <v>30509</v>
      </c>
      <c r="AD18" s="84">
        <v>58122</v>
      </c>
      <c r="AE18" s="85">
        <v>176421</v>
      </c>
      <c r="AF18" s="84">
        <v>8787</v>
      </c>
      <c r="AG18" s="85">
        <v>28969</v>
      </c>
      <c r="AH18" s="84">
        <v>30732</v>
      </c>
      <c r="AI18" s="85">
        <v>78908</v>
      </c>
      <c r="AJ18" s="84">
        <v>172602</v>
      </c>
      <c r="AK18" s="85">
        <v>172602</v>
      </c>
      <c r="AL18" s="398"/>
      <c r="AM18" s="85">
        <f t="shared" si="11"/>
        <v>0</v>
      </c>
      <c r="AN18" s="183">
        <v>13677</v>
      </c>
      <c r="AO18" s="182">
        <v>34618</v>
      </c>
      <c r="AP18" s="399">
        <v>19957</v>
      </c>
      <c r="AQ18" s="101">
        <v>47698</v>
      </c>
      <c r="AR18" s="102">
        <v>231</v>
      </c>
      <c r="AS18" s="103">
        <v>888</v>
      </c>
      <c r="AT18" s="84">
        <v>143985</v>
      </c>
      <c r="AU18" s="85">
        <v>366036</v>
      </c>
      <c r="AV18" s="105">
        <f t="shared" si="12"/>
        <v>1420380</v>
      </c>
      <c r="AW18" s="115">
        <f t="shared" si="13"/>
        <v>3976344</v>
      </c>
      <c r="AX18" s="84">
        <v>9282</v>
      </c>
      <c r="AY18" s="103">
        <v>20230</v>
      </c>
      <c r="AZ18" s="105">
        <f t="shared" si="14"/>
        <v>1429662</v>
      </c>
      <c r="BA18" s="106">
        <f t="shared" si="15"/>
        <v>3996574</v>
      </c>
    </row>
    <row r="19" spans="1:53" s="144" customFormat="1" ht="14.25">
      <c r="A19" s="162" t="s">
        <v>70</v>
      </c>
      <c r="B19" s="290">
        <v>679043</v>
      </c>
      <c r="C19" s="93">
        <v>1531711</v>
      </c>
      <c r="D19" s="84">
        <v>4802</v>
      </c>
      <c r="E19" s="85">
        <v>11901</v>
      </c>
      <c r="F19" s="84">
        <v>19945</v>
      </c>
      <c r="G19" s="85">
        <v>51024</v>
      </c>
      <c r="H19" s="84">
        <v>336890</v>
      </c>
      <c r="I19" s="85">
        <v>815819</v>
      </c>
      <c r="J19" s="84">
        <v>71872</v>
      </c>
      <c r="K19" s="85">
        <v>172553</v>
      </c>
      <c r="L19" s="84">
        <v>3435</v>
      </c>
      <c r="M19" s="85">
        <v>8088</v>
      </c>
      <c r="N19" s="84">
        <v>28016</v>
      </c>
      <c r="O19" s="85">
        <v>82963</v>
      </c>
      <c r="P19" s="114">
        <v>33517</v>
      </c>
      <c r="Q19" s="85">
        <v>89680</v>
      </c>
      <c r="R19" s="84">
        <v>23244</v>
      </c>
      <c r="S19" s="85">
        <v>76416</v>
      </c>
      <c r="T19" s="114">
        <v>68691</v>
      </c>
      <c r="U19" s="85">
        <v>197995</v>
      </c>
      <c r="V19" s="114">
        <v>2713801</v>
      </c>
      <c r="W19" s="95">
        <v>7503323</v>
      </c>
      <c r="X19" s="84">
        <v>746447</v>
      </c>
      <c r="Y19" s="95">
        <v>5216613</v>
      </c>
      <c r="Z19" s="813">
        <v>168625</v>
      </c>
      <c r="AA19" s="99">
        <v>502184</v>
      </c>
      <c r="AB19" s="84">
        <v>400907</v>
      </c>
      <c r="AC19" s="95">
        <v>922959</v>
      </c>
      <c r="AD19" s="84">
        <v>625773</v>
      </c>
      <c r="AE19" s="85">
        <v>1362266</v>
      </c>
      <c r="AF19" s="84">
        <v>54737</v>
      </c>
      <c r="AG19" s="85">
        <v>146988</v>
      </c>
      <c r="AH19" s="84">
        <v>653296</v>
      </c>
      <c r="AI19" s="85">
        <v>1654767</v>
      </c>
      <c r="AJ19" s="84">
        <v>157841</v>
      </c>
      <c r="AK19" s="85">
        <v>157841</v>
      </c>
      <c r="AL19" s="398"/>
      <c r="AM19" s="85">
        <f t="shared" si="11"/>
        <v>0</v>
      </c>
      <c r="AN19" s="183">
        <v>86467</v>
      </c>
      <c r="AO19" s="182">
        <v>181544</v>
      </c>
      <c r="AP19" s="399">
        <v>226935</v>
      </c>
      <c r="AQ19" s="101">
        <v>572803</v>
      </c>
      <c r="AR19" s="102"/>
      <c r="AS19" s="103"/>
      <c r="AT19" s="84">
        <v>24496</v>
      </c>
      <c r="AU19" s="85">
        <v>54311</v>
      </c>
      <c r="AV19" s="105">
        <f t="shared" si="12"/>
        <v>7128780</v>
      </c>
      <c r="AW19" s="115">
        <f t="shared" si="13"/>
        <v>21313749</v>
      </c>
      <c r="AX19" s="84">
        <v>36069</v>
      </c>
      <c r="AY19" s="103">
        <v>108592</v>
      </c>
      <c r="AZ19" s="105">
        <f t="shared" si="14"/>
        <v>7164849</v>
      </c>
      <c r="BA19" s="106">
        <f t="shared" si="15"/>
        <v>21422341</v>
      </c>
    </row>
    <row r="20" spans="1:53" s="144" customFormat="1" ht="14.25">
      <c r="A20" s="162" t="s">
        <v>71</v>
      </c>
      <c r="B20" s="290"/>
      <c r="C20" s="93"/>
      <c r="D20" s="84"/>
      <c r="E20" s="85"/>
      <c r="F20" s="84"/>
      <c r="G20" s="85"/>
      <c r="H20" s="84"/>
      <c r="I20" s="85"/>
      <c r="J20" s="84"/>
      <c r="K20" s="85"/>
      <c r="L20" s="84">
        <v>625779</v>
      </c>
      <c r="M20" s="85">
        <v>1574282</v>
      </c>
      <c r="N20" s="84">
        <v>-14038</v>
      </c>
      <c r="O20" s="85">
        <v>18578</v>
      </c>
      <c r="P20" s="114"/>
      <c r="Q20" s="85"/>
      <c r="R20" s="84">
        <v>24611</v>
      </c>
      <c r="S20" s="85">
        <v>70751</v>
      </c>
      <c r="T20" s="114"/>
      <c r="U20" s="85"/>
      <c r="V20" s="114"/>
      <c r="W20" s="95"/>
      <c r="X20" s="84"/>
      <c r="Y20" s="95"/>
      <c r="Z20" s="813"/>
      <c r="AA20" s="99"/>
      <c r="AB20" s="84"/>
      <c r="AC20" s="95"/>
      <c r="AD20" s="84"/>
      <c r="AE20" s="85"/>
      <c r="AF20" s="84">
        <v>1796785</v>
      </c>
      <c r="AG20" s="85">
        <v>4535259</v>
      </c>
      <c r="AH20" s="84"/>
      <c r="AI20" s="85"/>
      <c r="AJ20" s="84"/>
      <c r="AK20" s="85"/>
      <c r="AL20" s="398"/>
      <c r="AM20" s="85">
        <f t="shared" si="11"/>
        <v>0</v>
      </c>
      <c r="AN20" s="183">
        <v>2887239</v>
      </c>
      <c r="AO20" s="182">
        <v>7044287</v>
      </c>
      <c r="AP20" s="399"/>
      <c r="AQ20" s="101"/>
      <c r="AR20" s="102">
        <v>412145</v>
      </c>
      <c r="AS20" s="103">
        <v>1069761</v>
      </c>
      <c r="AT20" s="84">
        <v>1174139</v>
      </c>
      <c r="AU20" s="85">
        <v>2757817</v>
      </c>
      <c r="AV20" s="105">
        <f t="shared" si="12"/>
        <v>6906660</v>
      </c>
      <c r="AW20" s="115">
        <f t="shared" si="13"/>
        <v>17070735</v>
      </c>
      <c r="AX20" s="84">
        <v>358295</v>
      </c>
      <c r="AY20" s="103">
        <v>859704</v>
      </c>
      <c r="AZ20" s="105">
        <f t="shared" si="14"/>
        <v>7264955</v>
      </c>
      <c r="BA20" s="106">
        <f t="shared" si="15"/>
        <v>17930439</v>
      </c>
    </row>
    <row r="21" spans="1:53" s="144" customFormat="1" ht="14.25">
      <c r="A21" s="162" t="s">
        <v>72</v>
      </c>
      <c r="B21" s="290"/>
      <c r="C21" s="93"/>
      <c r="D21" s="84"/>
      <c r="E21" s="85"/>
      <c r="F21" s="84"/>
      <c r="G21" s="85"/>
      <c r="H21" s="84">
        <v>30660</v>
      </c>
      <c r="I21" s="85">
        <v>61698</v>
      </c>
      <c r="J21" s="84"/>
      <c r="K21" s="85"/>
      <c r="L21" s="84"/>
      <c r="M21" s="85"/>
      <c r="N21" s="84">
        <v>5252</v>
      </c>
      <c r="O21" s="85">
        <v>14462</v>
      </c>
      <c r="P21" s="114"/>
      <c r="Q21" s="85"/>
      <c r="R21" s="84"/>
      <c r="S21" s="85"/>
      <c r="T21" s="114"/>
      <c r="U21" s="85"/>
      <c r="V21" s="114">
        <v>2003</v>
      </c>
      <c r="W21" s="95">
        <v>3741</v>
      </c>
      <c r="X21" s="84"/>
      <c r="Y21" s="95"/>
      <c r="Z21" s="813"/>
      <c r="AA21" s="99"/>
      <c r="AB21" s="84"/>
      <c r="AC21" s="95"/>
      <c r="AD21" s="84"/>
      <c r="AE21" s="85"/>
      <c r="AF21" s="84"/>
      <c r="AG21" s="85"/>
      <c r="AH21" s="84"/>
      <c r="AI21" s="85"/>
      <c r="AJ21" s="84"/>
      <c r="AK21" s="85"/>
      <c r="AL21" s="398"/>
      <c r="AM21" s="85">
        <f t="shared" si="11"/>
        <v>0</v>
      </c>
      <c r="AN21" s="84"/>
      <c r="AO21" s="182"/>
      <c r="AP21" s="399"/>
      <c r="AQ21" s="101"/>
      <c r="AR21" s="102"/>
      <c r="AS21" s="103"/>
      <c r="AT21" s="84"/>
      <c r="AU21" s="85"/>
      <c r="AV21" s="105">
        <f t="shared" si="12"/>
        <v>37915</v>
      </c>
      <c r="AW21" s="115">
        <f t="shared" si="13"/>
        <v>79901</v>
      </c>
      <c r="AX21" s="84"/>
      <c r="AY21" s="103"/>
      <c r="AZ21" s="105">
        <f t="shared" si="14"/>
        <v>37915</v>
      </c>
      <c r="BA21" s="106">
        <f t="shared" si="15"/>
        <v>79901</v>
      </c>
    </row>
    <row r="22" spans="1:53" s="144" customFormat="1" ht="14.25">
      <c r="A22" s="162" t="s">
        <v>15</v>
      </c>
      <c r="B22" s="76"/>
      <c r="C22" s="93"/>
      <c r="D22" s="105"/>
      <c r="E22" s="85"/>
      <c r="F22" s="105"/>
      <c r="G22" s="85"/>
      <c r="H22" s="105"/>
      <c r="I22" s="85"/>
      <c r="J22" s="105"/>
      <c r="K22" s="85"/>
      <c r="L22" s="105"/>
      <c r="M22" s="85"/>
      <c r="N22" s="105"/>
      <c r="O22" s="85"/>
      <c r="P22" s="115"/>
      <c r="Q22" s="85"/>
      <c r="R22" s="105"/>
      <c r="S22" s="85"/>
      <c r="T22" s="115"/>
      <c r="U22" s="85"/>
      <c r="V22" s="115"/>
      <c r="W22" s="95"/>
      <c r="X22" s="105"/>
      <c r="Y22" s="95"/>
      <c r="Z22" s="813"/>
      <c r="AA22" s="99"/>
      <c r="AB22" s="105"/>
      <c r="AC22" s="95"/>
      <c r="AD22" s="812"/>
      <c r="AE22" s="85"/>
      <c r="AF22" s="105"/>
      <c r="AG22" s="85"/>
      <c r="AH22" s="105"/>
      <c r="AI22" s="85"/>
      <c r="AJ22" s="105"/>
      <c r="AK22" s="109"/>
      <c r="AL22" s="398"/>
      <c r="AM22" s="85">
        <f t="shared" si="11"/>
        <v>0</v>
      </c>
      <c r="AN22" s="183"/>
      <c r="AO22" s="182"/>
      <c r="AP22" s="399"/>
      <c r="AQ22" s="101"/>
      <c r="AR22" s="102"/>
      <c r="AS22" s="103"/>
      <c r="AT22" s="105"/>
      <c r="AU22" s="85"/>
      <c r="AV22" s="105">
        <f t="shared" si="12"/>
        <v>0</v>
      </c>
      <c r="AW22" s="115">
        <f t="shared" si="13"/>
        <v>0</v>
      </c>
      <c r="AX22" s="105"/>
      <c r="AY22" s="103"/>
      <c r="AZ22" s="105">
        <f t="shared" si="14"/>
        <v>0</v>
      </c>
      <c r="BA22" s="106">
        <f t="shared" si="15"/>
        <v>0</v>
      </c>
    </row>
    <row r="23" spans="1:53" s="144" customFormat="1" ht="14.25">
      <c r="A23" s="162" t="s">
        <v>17</v>
      </c>
      <c r="B23" s="290"/>
      <c r="C23" s="93"/>
      <c r="D23" s="84"/>
      <c r="E23" s="85"/>
      <c r="F23" s="84">
        <v>2809</v>
      </c>
      <c r="G23" s="85">
        <v>15845</v>
      </c>
      <c r="H23" s="84"/>
      <c r="I23" s="85"/>
      <c r="J23" s="84"/>
      <c r="K23" s="85"/>
      <c r="L23" s="84"/>
      <c r="M23" s="85"/>
      <c r="N23" s="84"/>
      <c r="O23" s="85"/>
      <c r="P23" s="114"/>
      <c r="Q23" s="85"/>
      <c r="R23" s="84">
        <v>39</v>
      </c>
      <c r="S23" s="85">
        <v>159</v>
      </c>
      <c r="T23" s="114"/>
      <c r="U23" s="85"/>
      <c r="V23" s="114">
        <v>2118</v>
      </c>
      <c r="W23" s="95">
        <v>7253</v>
      </c>
      <c r="X23" s="84">
        <v>3111</v>
      </c>
      <c r="Y23" s="95">
        <v>10355</v>
      </c>
      <c r="Z23" s="813"/>
      <c r="AA23" s="99"/>
      <c r="AB23" s="84"/>
      <c r="AC23" s="95"/>
      <c r="AD23" s="84"/>
      <c r="AE23" s="85"/>
      <c r="AF23" s="84"/>
      <c r="AG23" s="85"/>
      <c r="AH23" s="84"/>
      <c r="AI23" s="85"/>
      <c r="AJ23" s="84"/>
      <c r="AK23" s="85"/>
      <c r="AL23" s="398"/>
      <c r="AM23" s="85">
        <f t="shared" si="11"/>
        <v>0</v>
      </c>
      <c r="AN23" s="183">
        <v>170</v>
      </c>
      <c r="AO23" s="182">
        <v>273</v>
      </c>
      <c r="AP23" s="399"/>
      <c r="AQ23" s="101"/>
      <c r="AR23" s="102"/>
      <c r="AS23" s="103"/>
      <c r="AT23" s="84"/>
      <c r="AU23" s="85"/>
      <c r="AV23" s="105">
        <f t="shared" si="12"/>
        <v>8247</v>
      </c>
      <c r="AW23" s="115">
        <f t="shared" si="13"/>
        <v>33885</v>
      </c>
      <c r="AX23" s="102">
        <v>14488</v>
      </c>
      <c r="AY23" s="103">
        <v>18093</v>
      </c>
      <c r="AZ23" s="105">
        <f t="shared" si="14"/>
        <v>22735</v>
      </c>
      <c r="BA23" s="106">
        <f t="shared" si="15"/>
        <v>51978</v>
      </c>
    </row>
    <row r="24" spans="1:53" s="144" customFormat="1" ht="14.25">
      <c r="A24" s="162" t="s">
        <v>73</v>
      </c>
      <c r="B24" s="290"/>
      <c r="C24" s="93"/>
      <c r="D24" s="84">
        <v>875</v>
      </c>
      <c r="E24" s="85">
        <v>2134</v>
      </c>
      <c r="F24" s="84"/>
      <c r="G24" s="85"/>
      <c r="H24" s="84"/>
      <c r="I24" s="85"/>
      <c r="J24" s="84"/>
      <c r="K24" s="85"/>
      <c r="L24" s="84">
        <v>724</v>
      </c>
      <c r="M24" s="85">
        <v>1163</v>
      </c>
      <c r="N24" s="84"/>
      <c r="O24" s="85"/>
      <c r="P24" s="114">
        <v>9</v>
      </c>
      <c r="Q24" s="85">
        <v>20</v>
      </c>
      <c r="R24" s="84"/>
      <c r="S24" s="85"/>
      <c r="T24" s="114">
        <v>59</v>
      </c>
      <c r="U24" s="85">
        <v>123</v>
      </c>
      <c r="V24" s="114">
        <v>8119</v>
      </c>
      <c r="W24" s="95">
        <v>41279</v>
      </c>
      <c r="X24" s="84">
        <v>60328</v>
      </c>
      <c r="Y24" s="95">
        <v>158216</v>
      </c>
      <c r="Z24" s="813"/>
      <c r="AA24" s="99"/>
      <c r="AB24" s="84"/>
      <c r="AC24" s="95"/>
      <c r="AD24" s="84"/>
      <c r="AE24" s="85"/>
      <c r="AF24" s="84"/>
      <c r="AG24" s="85"/>
      <c r="AH24" s="84"/>
      <c r="AI24" s="85"/>
      <c r="AJ24" s="84"/>
      <c r="AK24" s="85"/>
      <c r="AL24" s="398"/>
      <c r="AM24" s="85">
        <f t="shared" si="11"/>
        <v>0</v>
      </c>
      <c r="AN24" s="183">
        <v>860</v>
      </c>
      <c r="AO24" s="182">
        <v>2952</v>
      </c>
      <c r="AP24" s="399"/>
      <c r="AQ24" s="101"/>
      <c r="AR24" s="102"/>
      <c r="AS24" s="103"/>
      <c r="AT24" s="84">
        <v>65466</v>
      </c>
      <c r="AU24" s="85">
        <v>153487</v>
      </c>
      <c r="AV24" s="105">
        <f t="shared" si="12"/>
        <v>136440</v>
      </c>
      <c r="AW24" s="115">
        <f t="shared" si="13"/>
        <v>359374</v>
      </c>
      <c r="AX24" s="102"/>
      <c r="AY24" s="103"/>
      <c r="AZ24" s="105">
        <f t="shared" si="14"/>
        <v>136440</v>
      </c>
      <c r="BA24" s="106">
        <f t="shared" si="15"/>
        <v>359374</v>
      </c>
    </row>
    <row r="25" spans="1:53" s="144" customFormat="1" ht="14.25">
      <c r="A25" s="162" t="s">
        <v>74</v>
      </c>
      <c r="B25" s="405"/>
      <c r="C25" s="93"/>
      <c r="D25" s="128"/>
      <c r="E25" s="85"/>
      <c r="F25" s="128"/>
      <c r="G25" s="85">
        <v>-139</v>
      </c>
      <c r="H25" s="128"/>
      <c r="I25" s="85"/>
      <c r="J25" s="128"/>
      <c r="K25" s="85"/>
      <c r="L25" s="128"/>
      <c r="M25" s="85"/>
      <c r="N25" s="128">
        <v>-310</v>
      </c>
      <c r="O25" s="85">
        <v>117</v>
      </c>
      <c r="P25" s="125"/>
      <c r="Q25" s="85"/>
      <c r="R25" s="128">
        <v>1458</v>
      </c>
      <c r="S25" s="85">
        <v>5861</v>
      </c>
      <c r="T25" s="125"/>
      <c r="U25" s="85"/>
      <c r="V25" s="125"/>
      <c r="W25" s="95"/>
      <c r="X25" s="128"/>
      <c r="Y25" s="95"/>
      <c r="Z25" s="814"/>
      <c r="AA25" s="99"/>
      <c r="AB25" s="128"/>
      <c r="AC25" s="95"/>
      <c r="AD25" s="128">
        <v>121</v>
      </c>
      <c r="AE25" s="85">
        <v>308</v>
      </c>
      <c r="AF25" s="128"/>
      <c r="AG25" s="85"/>
      <c r="AH25" s="128"/>
      <c r="AI25" s="85"/>
      <c r="AJ25" s="128"/>
      <c r="AK25" s="126"/>
      <c r="AL25" s="406"/>
      <c r="AM25" s="85">
        <f t="shared" si="11"/>
        <v>0</v>
      </c>
      <c r="AN25" s="407"/>
      <c r="AO25" s="182"/>
      <c r="AP25" s="410"/>
      <c r="AQ25" s="101"/>
      <c r="AR25" s="131"/>
      <c r="AS25" s="103"/>
      <c r="AT25" s="128"/>
      <c r="AU25" s="85"/>
      <c r="AV25" s="105">
        <f t="shared" si="12"/>
        <v>1269</v>
      </c>
      <c r="AW25" s="115">
        <f t="shared" si="13"/>
        <v>6147</v>
      </c>
      <c r="AX25" s="131"/>
      <c r="AY25" s="103"/>
      <c r="AZ25" s="105">
        <f t="shared" si="14"/>
        <v>1269</v>
      </c>
      <c r="BA25" s="106">
        <f t="shared" si="15"/>
        <v>6147</v>
      </c>
    </row>
    <row r="26" spans="1:53" s="144" customFormat="1" ht="14.25">
      <c r="A26" s="409" t="s">
        <v>16</v>
      </c>
      <c r="B26" s="405"/>
      <c r="C26" s="93"/>
      <c r="D26" s="128"/>
      <c r="E26" s="85"/>
      <c r="F26" s="128"/>
      <c r="G26" s="85"/>
      <c r="H26" s="128"/>
      <c r="I26" s="85"/>
      <c r="J26" s="128"/>
      <c r="K26" s="85"/>
      <c r="L26" s="128"/>
      <c r="M26" s="85"/>
      <c r="N26" s="128"/>
      <c r="O26" s="85"/>
      <c r="P26" s="125"/>
      <c r="Q26" s="85"/>
      <c r="R26" s="128">
        <v>727</v>
      </c>
      <c r="S26" s="85">
        <v>1201</v>
      </c>
      <c r="T26" s="125"/>
      <c r="U26" s="85"/>
      <c r="V26" s="125"/>
      <c r="W26" s="95"/>
      <c r="X26" s="128"/>
      <c r="Y26" s="95"/>
      <c r="Z26" s="814"/>
      <c r="AA26" s="99"/>
      <c r="AB26" s="128"/>
      <c r="AC26" s="95"/>
      <c r="AD26" s="128"/>
      <c r="AE26" s="85"/>
      <c r="AF26" s="128"/>
      <c r="AG26" s="85"/>
      <c r="AH26" s="128"/>
      <c r="AI26" s="85"/>
      <c r="AJ26" s="128"/>
      <c r="AK26" s="126"/>
      <c r="AL26" s="406"/>
      <c r="AM26" s="85">
        <f t="shared" si="11"/>
        <v>0</v>
      </c>
      <c r="AN26" s="407"/>
      <c r="AO26" s="408"/>
      <c r="AP26" s="410"/>
      <c r="AQ26" s="130"/>
      <c r="AR26" s="131"/>
      <c r="AS26" s="132"/>
      <c r="AT26" s="128"/>
      <c r="AU26" s="126"/>
      <c r="AV26" s="133"/>
      <c r="AW26" s="134"/>
      <c r="AX26" s="131"/>
      <c r="AY26" s="103"/>
      <c r="AZ26" s="133"/>
      <c r="BA26" s="412"/>
    </row>
    <row r="27" spans="1:53" s="144" customFormat="1" ht="15" thickBot="1">
      <c r="A27" s="409" t="s">
        <v>75</v>
      </c>
      <c r="B27" s="405"/>
      <c r="C27" s="93"/>
      <c r="D27" s="128"/>
      <c r="E27" s="85"/>
      <c r="F27" s="128"/>
      <c r="G27" s="85"/>
      <c r="H27" s="128"/>
      <c r="I27" s="85"/>
      <c r="J27" s="128"/>
      <c r="K27" s="85"/>
      <c r="L27" s="128"/>
      <c r="M27" s="85"/>
      <c r="N27" s="128"/>
      <c r="O27" s="85"/>
      <c r="P27" s="125"/>
      <c r="Q27" s="85"/>
      <c r="R27" s="128"/>
      <c r="S27" s="85"/>
      <c r="T27" s="125"/>
      <c r="U27" s="85"/>
      <c r="V27" s="125"/>
      <c r="W27" s="95"/>
      <c r="X27" s="128"/>
      <c r="Y27" s="95"/>
      <c r="Z27" s="814"/>
      <c r="AA27" s="99"/>
      <c r="AB27" s="128">
        <v>69</v>
      </c>
      <c r="AC27" s="95">
        <v>1012</v>
      </c>
      <c r="AD27" s="128"/>
      <c r="AE27" s="85"/>
      <c r="AF27" s="128"/>
      <c r="AG27" s="85"/>
      <c r="AH27" s="128"/>
      <c r="AI27" s="85"/>
      <c r="AJ27" s="128">
        <v>147</v>
      </c>
      <c r="AK27" s="126">
        <v>147</v>
      </c>
      <c r="AL27" s="406"/>
      <c r="AM27" s="85">
        <f t="shared" si="11"/>
        <v>0</v>
      </c>
      <c r="AN27" s="407"/>
      <c r="AO27" s="408"/>
      <c r="AP27" s="410"/>
      <c r="AQ27" s="130"/>
      <c r="AR27" s="131"/>
      <c r="AS27" s="132"/>
      <c r="AT27" s="128"/>
      <c r="AU27" s="126"/>
      <c r="AV27" s="133">
        <f>SUM(B27+D27+F27+H27+J27+L27+N27+P27+R27+T27+V27+X27+Z27+AB27+AD27+AF27+AH27+AJ27+AL27+AN27+AP27+AR27+AT27)</f>
        <v>216</v>
      </c>
      <c r="AW27" s="134">
        <v>4</v>
      </c>
      <c r="AX27" s="131"/>
      <c r="AY27" s="103"/>
      <c r="AZ27" s="133">
        <f>AV27+AX27</f>
        <v>216</v>
      </c>
      <c r="BA27" s="412">
        <f>AW27+AY27</f>
        <v>4</v>
      </c>
    </row>
    <row r="28" spans="1:53" s="411" customFormat="1" ht="15" thickBot="1">
      <c r="A28" s="422" t="s">
        <v>54</v>
      </c>
      <c r="B28" s="413">
        <f>SUM(B17:B25)</f>
        <v>1247350</v>
      </c>
      <c r="C28" s="413">
        <f aca="true" t="shared" si="16" ref="C28:I28">SUM(C17:C25)</f>
        <v>3093865</v>
      </c>
      <c r="D28" s="413">
        <f t="shared" si="16"/>
        <v>10489</v>
      </c>
      <c r="E28" s="413">
        <f t="shared" si="16"/>
        <v>28864</v>
      </c>
      <c r="F28" s="413">
        <f t="shared" si="16"/>
        <v>54091</v>
      </c>
      <c r="G28" s="413">
        <f t="shared" si="16"/>
        <v>143785</v>
      </c>
      <c r="H28" s="413">
        <f t="shared" si="16"/>
        <v>1079023</v>
      </c>
      <c r="I28" s="413">
        <f t="shared" si="16"/>
        <v>2521913</v>
      </c>
      <c r="J28" s="413">
        <f aca="true" t="shared" si="17" ref="J28:AN28">SUM(J17:J27)</f>
        <v>481566</v>
      </c>
      <c r="K28" s="413">
        <f t="shared" si="17"/>
        <v>1298423</v>
      </c>
      <c r="L28" s="413">
        <f t="shared" si="17"/>
        <v>630908</v>
      </c>
      <c r="M28" s="413">
        <f t="shared" si="17"/>
        <v>1585085</v>
      </c>
      <c r="N28" s="413">
        <f t="shared" si="17"/>
        <v>86478</v>
      </c>
      <c r="O28" s="413">
        <f t="shared" si="17"/>
        <v>305376</v>
      </c>
      <c r="P28" s="415">
        <f t="shared" si="17"/>
        <v>204423</v>
      </c>
      <c r="Q28" s="413">
        <f t="shared" si="17"/>
        <v>498423</v>
      </c>
      <c r="R28" s="413">
        <f t="shared" si="17"/>
        <v>507718</v>
      </c>
      <c r="S28" s="413">
        <f t="shared" si="17"/>
        <v>1380050</v>
      </c>
      <c r="T28" s="415">
        <f t="shared" si="17"/>
        <v>126683</v>
      </c>
      <c r="U28" s="413">
        <f t="shared" si="17"/>
        <v>338062</v>
      </c>
      <c r="V28" s="413">
        <f t="shared" si="17"/>
        <v>3519497</v>
      </c>
      <c r="W28" s="414">
        <f t="shared" si="17"/>
        <v>10397198</v>
      </c>
      <c r="X28" s="413">
        <f t="shared" si="17"/>
        <v>1743442</v>
      </c>
      <c r="Y28" s="414">
        <f t="shared" si="17"/>
        <v>8336929</v>
      </c>
      <c r="Z28" s="413">
        <f t="shared" si="17"/>
        <v>179171</v>
      </c>
      <c r="AA28" s="413">
        <f t="shared" si="17"/>
        <v>542021</v>
      </c>
      <c r="AB28" s="413">
        <f t="shared" si="17"/>
        <v>426373</v>
      </c>
      <c r="AC28" s="414">
        <f t="shared" si="17"/>
        <v>1005208</v>
      </c>
      <c r="AD28" s="413">
        <f t="shared" si="17"/>
        <v>1389673</v>
      </c>
      <c r="AE28" s="413">
        <f t="shared" si="17"/>
        <v>3198843</v>
      </c>
      <c r="AF28" s="413">
        <f t="shared" si="17"/>
        <v>2492684</v>
      </c>
      <c r="AG28" s="413">
        <f t="shared" si="17"/>
        <v>6589078</v>
      </c>
      <c r="AH28" s="413">
        <f t="shared" si="17"/>
        <v>753051</v>
      </c>
      <c r="AI28" s="413">
        <f t="shared" si="17"/>
        <v>1905421</v>
      </c>
      <c r="AJ28" s="413">
        <f t="shared" si="17"/>
        <v>442652</v>
      </c>
      <c r="AK28" s="413">
        <f t="shared" si="17"/>
        <v>1310061</v>
      </c>
      <c r="AL28" s="413">
        <f>AL9</f>
        <v>0</v>
      </c>
      <c r="AM28" s="413">
        <f>AM9</f>
        <v>0</v>
      </c>
      <c r="AN28" s="413">
        <f t="shared" si="17"/>
        <v>4552156</v>
      </c>
      <c r="AO28" s="416">
        <f aca="true" t="shared" si="18" ref="AO28:AU28">SUM(AO17:AO27)</f>
        <v>11128206</v>
      </c>
      <c r="AP28" s="417">
        <f t="shared" si="18"/>
        <v>289788</v>
      </c>
      <c r="AQ28" s="416">
        <f t="shared" si="18"/>
        <v>736873</v>
      </c>
      <c r="AR28" s="417">
        <f t="shared" si="18"/>
        <v>414520</v>
      </c>
      <c r="AS28" s="416">
        <f t="shared" si="18"/>
        <v>1077599</v>
      </c>
      <c r="AT28" s="417">
        <f t="shared" si="18"/>
        <v>2114937</v>
      </c>
      <c r="AU28" s="416">
        <f t="shared" si="18"/>
        <v>5061012</v>
      </c>
      <c r="AV28" s="417">
        <f>SUM(B28+D28+F28+H28+J28+L28+N28+P28+R28+T28+V28+X28+Z28+AB28+AD28+AF28+AH28+AJ28+AL28+AN28+AP28+AR28+AT28)</f>
        <v>22746673</v>
      </c>
      <c r="AW28" s="418">
        <f>SUM(C28+E28+G28+I28+K28+M28+O28+Q28+S28+U28+W28+Y28+AA28+AC28+AE28+AG28+AI28+AK28+AM28+AO28+AQ28+AS28+AU28)</f>
        <v>62482295</v>
      </c>
      <c r="AX28" s="419">
        <f>SUM(AX17:AX27)</f>
        <v>57073652</v>
      </c>
      <c r="AY28" s="420">
        <f>SUM(AY17:AY27)</f>
        <v>143209661</v>
      </c>
      <c r="AZ28" s="417">
        <f>AV28+AX28</f>
        <v>79820325</v>
      </c>
      <c r="BA28" s="421">
        <f>AW28+AY28</f>
        <v>205691956</v>
      </c>
    </row>
  </sheetData>
  <sheetProtection/>
  <mergeCells count="29"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J3:K3"/>
    <mergeCell ref="L3:M3"/>
    <mergeCell ref="N3:O3"/>
    <mergeCell ref="AB3:AC3"/>
    <mergeCell ref="AD3:AE3"/>
    <mergeCell ref="AF3:AG3"/>
    <mergeCell ref="V3:W3"/>
    <mergeCell ref="X3:Y3"/>
    <mergeCell ref="Z3:AA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G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23" sqref="F22:F23"/>
    </sheetView>
  </sheetViews>
  <sheetFormatPr defaultColWidth="9.140625" defaultRowHeight="15"/>
  <cols>
    <col min="1" max="1" width="37.28125" style="148" bestFit="1" customWidth="1"/>
    <col min="2" max="2" width="11.7109375" style="0" bestFit="1" customWidth="1"/>
    <col min="3" max="3" width="12.8515625" style="0" bestFit="1" customWidth="1"/>
    <col min="4" max="4" width="11.7109375" style="0" bestFit="1" customWidth="1"/>
    <col min="5" max="5" width="12.8515625" style="0" bestFit="1" customWidth="1"/>
    <col min="6" max="6" width="11.7109375" style="0" bestFit="1" customWidth="1"/>
    <col min="7" max="7" width="12.8515625" style="0" bestFit="1" customWidth="1"/>
    <col min="8" max="8" width="11.7109375" style="0" bestFit="1" customWidth="1"/>
    <col min="9" max="9" width="12.8515625" style="0" bestFit="1" customWidth="1"/>
    <col min="10" max="10" width="11.7109375" style="0" bestFit="1" customWidth="1"/>
    <col min="11" max="11" width="12.8515625" style="0" bestFit="1" customWidth="1"/>
    <col min="12" max="12" width="11.7109375" style="0" bestFit="1" customWidth="1"/>
    <col min="13" max="13" width="12.8515625" style="0" bestFit="1" customWidth="1"/>
    <col min="14" max="14" width="11.7109375" style="0" bestFit="1" customWidth="1"/>
    <col min="15" max="15" width="12.8515625" style="0" bestFit="1" customWidth="1"/>
    <col min="16" max="16" width="11.7109375" style="0" bestFit="1" customWidth="1"/>
    <col min="17" max="17" width="12.8515625" style="0" bestFit="1" customWidth="1"/>
    <col min="18" max="18" width="11.7109375" style="0" bestFit="1" customWidth="1"/>
    <col min="19" max="19" width="12.8515625" style="0" bestFit="1" customWidth="1"/>
    <col min="20" max="20" width="11.7109375" style="0" bestFit="1" customWidth="1"/>
    <col min="21" max="21" width="12.8515625" style="0" bestFit="1" customWidth="1"/>
    <col min="22" max="22" width="11.7109375" style="145" bestFit="1" customWidth="1"/>
    <col min="23" max="23" width="12.8515625" style="145" bestFit="1" customWidth="1"/>
    <col min="24" max="24" width="11.7109375" style="0" customWidth="1"/>
    <col min="25" max="25" width="12.8515625" style="0" bestFit="1" customWidth="1"/>
    <col min="26" max="26" width="11.7109375" style="0" bestFit="1" customWidth="1"/>
    <col min="27" max="27" width="12.8515625" style="0" bestFit="1" customWidth="1"/>
    <col min="28" max="28" width="11.7109375" style="0" bestFit="1" customWidth="1"/>
    <col min="29" max="29" width="12.8515625" style="0" bestFit="1" customWidth="1"/>
    <col min="30" max="30" width="11.7109375" style="0" bestFit="1" customWidth="1"/>
    <col min="31" max="31" width="12.8515625" style="0" bestFit="1" customWidth="1"/>
    <col min="32" max="32" width="11.7109375" style="0" bestFit="1" customWidth="1"/>
    <col min="33" max="33" width="12.8515625" style="0" customWidth="1"/>
    <col min="34" max="34" width="11.7109375" style="0" bestFit="1" customWidth="1"/>
    <col min="35" max="35" width="12.8515625" style="0" bestFit="1" customWidth="1"/>
    <col min="36" max="36" width="11.7109375" style="0" bestFit="1" customWidth="1"/>
    <col min="37" max="37" width="12.8515625" style="0" bestFit="1" customWidth="1"/>
    <col min="38" max="38" width="11.7109375" style="0" bestFit="1" customWidth="1"/>
    <col min="39" max="39" width="12.8515625" style="0" bestFit="1" customWidth="1"/>
    <col min="40" max="40" width="11.7109375" style="0" bestFit="1" customWidth="1"/>
    <col min="41" max="41" width="12.8515625" style="0" bestFit="1" customWidth="1"/>
    <col min="42" max="42" width="11.7109375" style="145" bestFit="1" customWidth="1"/>
    <col min="43" max="43" width="12.8515625" style="145" bestFit="1" customWidth="1"/>
    <col min="44" max="44" width="11.7109375" style="145" bestFit="1" customWidth="1"/>
    <col min="45" max="45" width="12.8515625" style="145" bestFit="1" customWidth="1"/>
    <col min="46" max="46" width="11.7109375" style="145" bestFit="1" customWidth="1"/>
    <col min="47" max="47" width="12.8515625" style="145" bestFit="1" customWidth="1"/>
    <col min="48" max="48" width="11.7109375" style="146" bestFit="1" customWidth="1"/>
    <col min="49" max="49" width="12.8515625" style="146" bestFit="1" customWidth="1"/>
    <col min="50" max="50" width="11.7109375" style="146" bestFit="1" customWidth="1"/>
    <col min="51" max="51" width="12.8515625" style="146" bestFit="1" customWidth="1"/>
    <col min="52" max="52" width="11.7109375" style="146" bestFit="1" customWidth="1"/>
    <col min="53" max="53" width="12.8515625" style="146" bestFit="1" customWidth="1"/>
    <col min="57" max="57" width="11.421875" style="0" customWidth="1"/>
    <col min="58" max="58" width="13.00390625" style="0" customWidth="1"/>
    <col min="59" max="59" width="11.57421875" style="0" customWidth="1"/>
  </cols>
  <sheetData>
    <row r="1" spans="1:53" s="74" customFormat="1" ht="13.5" customHeight="1">
      <c r="A1" s="1206" t="s">
        <v>114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  <c r="S1" s="1206"/>
      <c r="T1" s="1206"/>
      <c r="U1" s="1206"/>
      <c r="V1" s="1206"/>
      <c r="W1" s="1206"/>
      <c r="X1" s="1206"/>
      <c r="Y1" s="1206"/>
      <c r="Z1" s="1206"/>
      <c r="AA1" s="1206"/>
      <c r="AB1" s="1206"/>
      <c r="AC1" s="1206"/>
      <c r="AD1" s="1206"/>
      <c r="AE1" s="1206"/>
      <c r="AF1" s="1206"/>
      <c r="AG1" s="1206"/>
      <c r="AH1" s="1206"/>
      <c r="AI1" s="1206"/>
      <c r="AJ1" s="1206"/>
      <c r="AK1" s="1206"/>
      <c r="AL1" s="1206"/>
      <c r="AM1" s="1206"/>
      <c r="AN1" s="1206"/>
      <c r="AO1" s="1206"/>
      <c r="AP1" s="1206"/>
      <c r="AQ1" s="1206"/>
      <c r="AR1" s="1206"/>
      <c r="AS1" s="1206"/>
      <c r="AT1" s="1206"/>
      <c r="AU1" s="1206"/>
      <c r="AV1" s="1206"/>
      <c r="AW1" s="1206"/>
      <c r="AX1" s="1206"/>
      <c r="AY1" s="1206"/>
      <c r="AZ1" s="1206"/>
      <c r="BA1" s="111"/>
    </row>
    <row r="2" spans="1:53" s="74" customFormat="1" ht="14.25" customHeight="1" thickBot="1">
      <c r="A2" s="1207" t="s">
        <v>59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207"/>
      <c r="T2" s="1207"/>
      <c r="U2" s="1207"/>
      <c r="V2" s="1207"/>
      <c r="W2" s="1207"/>
      <c r="X2" s="1207"/>
      <c r="Y2" s="1207"/>
      <c r="Z2" s="1207"/>
      <c r="AA2" s="1207"/>
      <c r="AB2" s="1207"/>
      <c r="AC2" s="1207"/>
      <c r="AD2" s="1207"/>
      <c r="AE2" s="1207"/>
      <c r="AF2" s="1207"/>
      <c r="AG2" s="1207"/>
      <c r="AH2" s="1207"/>
      <c r="AI2" s="1207"/>
      <c r="AJ2" s="1207"/>
      <c r="AK2" s="1207"/>
      <c r="AL2" s="1207"/>
      <c r="AM2" s="1207"/>
      <c r="AN2" s="1207"/>
      <c r="AO2" s="1207"/>
      <c r="AP2" s="1207"/>
      <c r="AQ2" s="1207"/>
      <c r="AR2" s="1207"/>
      <c r="AS2" s="1207"/>
      <c r="AT2" s="1207"/>
      <c r="AU2" s="1207"/>
      <c r="AV2" s="1207"/>
      <c r="AW2" s="1207"/>
      <c r="AX2" s="1207"/>
      <c r="AY2" s="1207"/>
      <c r="AZ2" s="1207"/>
      <c r="BA2" s="111"/>
    </row>
    <row r="3" spans="1:53" s="811" customFormat="1" ht="38.25" customHeight="1" thickBot="1">
      <c r="A3" s="1208" t="s">
        <v>0</v>
      </c>
      <c r="B3" s="1210" t="s">
        <v>117</v>
      </c>
      <c r="C3" s="1211"/>
      <c r="D3" s="1199" t="s">
        <v>118</v>
      </c>
      <c r="E3" s="1200"/>
      <c r="F3" s="1199" t="s">
        <v>119</v>
      </c>
      <c r="G3" s="1200"/>
      <c r="H3" s="1199" t="s">
        <v>120</v>
      </c>
      <c r="I3" s="1200"/>
      <c r="J3" s="1199" t="s">
        <v>121</v>
      </c>
      <c r="K3" s="1200"/>
      <c r="L3" s="1199" t="s">
        <v>122</v>
      </c>
      <c r="M3" s="1200"/>
      <c r="N3" s="1199" t="s">
        <v>302</v>
      </c>
      <c r="O3" s="1200"/>
      <c r="P3" s="1199" t="s">
        <v>124</v>
      </c>
      <c r="Q3" s="1200"/>
      <c r="R3" s="1201" t="s">
        <v>125</v>
      </c>
      <c r="S3" s="1200"/>
      <c r="T3" s="1201" t="s">
        <v>126</v>
      </c>
      <c r="U3" s="1200"/>
      <c r="V3" s="1186" t="s">
        <v>127</v>
      </c>
      <c r="W3" s="1197"/>
      <c r="X3" s="1201" t="s">
        <v>128</v>
      </c>
      <c r="Y3" s="1200"/>
      <c r="Z3" s="1201" t="s">
        <v>129</v>
      </c>
      <c r="AA3" s="1200"/>
      <c r="AB3" s="1201" t="s">
        <v>130</v>
      </c>
      <c r="AC3" s="1200"/>
      <c r="AD3" s="1202" t="s">
        <v>131</v>
      </c>
      <c r="AE3" s="1203"/>
      <c r="AF3" s="1204" t="s">
        <v>132</v>
      </c>
      <c r="AG3" s="1205"/>
      <c r="AH3" s="1201" t="s">
        <v>133</v>
      </c>
      <c r="AI3" s="1200"/>
      <c r="AJ3" s="1201" t="s">
        <v>134</v>
      </c>
      <c r="AK3" s="1200"/>
      <c r="AL3" s="1218" t="s">
        <v>244</v>
      </c>
      <c r="AM3" s="1218"/>
      <c r="AN3" s="1201" t="s">
        <v>136</v>
      </c>
      <c r="AO3" s="1199"/>
      <c r="AP3" s="1187" t="s">
        <v>137</v>
      </c>
      <c r="AQ3" s="1187"/>
      <c r="AR3" s="1186" t="s">
        <v>138</v>
      </c>
      <c r="AS3" s="1187"/>
      <c r="AT3" s="1186" t="s">
        <v>139</v>
      </c>
      <c r="AU3" s="1187"/>
      <c r="AV3" s="1214" t="s">
        <v>1</v>
      </c>
      <c r="AW3" s="1215"/>
      <c r="AX3" s="1216" t="s">
        <v>140</v>
      </c>
      <c r="AY3" s="1217"/>
      <c r="AZ3" s="1212" t="s">
        <v>2</v>
      </c>
      <c r="BA3" s="1213"/>
    </row>
    <row r="4" spans="1:53" s="380" customFormat="1" ht="15" customHeight="1" thickBot="1">
      <c r="A4" s="1209"/>
      <c r="B4" s="373" t="s">
        <v>297</v>
      </c>
      <c r="C4" s="375" t="s">
        <v>298</v>
      </c>
      <c r="D4" s="374" t="s">
        <v>297</v>
      </c>
      <c r="E4" s="375" t="s">
        <v>298</v>
      </c>
      <c r="F4" s="374" t="s">
        <v>297</v>
      </c>
      <c r="G4" s="375" t="s">
        <v>298</v>
      </c>
      <c r="H4" s="374" t="s">
        <v>297</v>
      </c>
      <c r="I4" s="375" t="s">
        <v>298</v>
      </c>
      <c r="J4" s="374" t="s">
        <v>297</v>
      </c>
      <c r="K4" s="375" t="s">
        <v>298</v>
      </c>
      <c r="L4" s="374" t="s">
        <v>297</v>
      </c>
      <c r="M4" s="375" t="s">
        <v>298</v>
      </c>
      <c r="N4" s="374" t="s">
        <v>297</v>
      </c>
      <c r="O4" s="375" t="s">
        <v>298</v>
      </c>
      <c r="P4" s="374" t="s">
        <v>297</v>
      </c>
      <c r="Q4" s="375" t="s">
        <v>298</v>
      </c>
      <c r="R4" s="373" t="s">
        <v>297</v>
      </c>
      <c r="S4" s="375" t="s">
        <v>298</v>
      </c>
      <c r="T4" s="373" t="s">
        <v>297</v>
      </c>
      <c r="U4" s="375" t="s">
        <v>298</v>
      </c>
      <c r="V4" s="373" t="s">
        <v>297</v>
      </c>
      <c r="W4" s="375" t="s">
        <v>298</v>
      </c>
      <c r="X4" s="373" t="s">
        <v>297</v>
      </c>
      <c r="Y4" s="375" t="s">
        <v>298</v>
      </c>
      <c r="Z4" s="373" t="s">
        <v>297</v>
      </c>
      <c r="AA4" s="375" t="s">
        <v>298</v>
      </c>
      <c r="AB4" s="373" t="s">
        <v>297</v>
      </c>
      <c r="AC4" s="375" t="s">
        <v>298</v>
      </c>
      <c r="AD4" s="373" t="s">
        <v>297</v>
      </c>
      <c r="AE4" s="375" t="s">
        <v>298</v>
      </c>
      <c r="AF4" s="373" t="s">
        <v>297</v>
      </c>
      <c r="AG4" s="375" t="s">
        <v>298</v>
      </c>
      <c r="AH4" s="373" t="s">
        <v>297</v>
      </c>
      <c r="AI4" s="375" t="s">
        <v>298</v>
      </c>
      <c r="AJ4" s="373" t="s">
        <v>297</v>
      </c>
      <c r="AK4" s="375" t="s">
        <v>298</v>
      </c>
      <c r="AL4" s="374" t="s">
        <v>297</v>
      </c>
      <c r="AM4" s="374" t="s">
        <v>298</v>
      </c>
      <c r="AN4" s="589" t="s">
        <v>297</v>
      </c>
      <c r="AO4" s="590" t="s">
        <v>298</v>
      </c>
      <c r="AP4" s="373" t="s">
        <v>297</v>
      </c>
      <c r="AQ4" s="374" t="s">
        <v>298</v>
      </c>
      <c r="AR4" s="373" t="s">
        <v>297</v>
      </c>
      <c r="AS4" s="374" t="s">
        <v>298</v>
      </c>
      <c r="AT4" s="373" t="s">
        <v>297</v>
      </c>
      <c r="AU4" s="374" t="s">
        <v>298</v>
      </c>
      <c r="AV4" s="373" t="s">
        <v>297</v>
      </c>
      <c r="AW4" s="374" t="s">
        <v>298</v>
      </c>
      <c r="AX4" s="373" t="s">
        <v>297</v>
      </c>
      <c r="AY4" s="374" t="s">
        <v>298</v>
      </c>
      <c r="AZ4" s="373" t="s">
        <v>297</v>
      </c>
      <c r="BA4" s="375" t="s">
        <v>298</v>
      </c>
    </row>
    <row r="5" spans="1:53" s="78" customFormat="1" ht="15" customHeight="1">
      <c r="A5" s="149" t="s">
        <v>30</v>
      </c>
      <c r="B5" s="150"/>
      <c r="C5" s="152"/>
      <c r="D5" s="153"/>
      <c r="E5" s="152"/>
      <c r="F5" s="155"/>
      <c r="G5" s="154"/>
      <c r="H5" s="155"/>
      <c r="I5" s="154"/>
      <c r="J5" s="155"/>
      <c r="K5" s="154"/>
      <c r="L5" s="155"/>
      <c r="M5" s="154"/>
      <c r="N5" s="155"/>
      <c r="O5" s="154"/>
      <c r="P5" s="153"/>
      <c r="Q5" s="152"/>
      <c r="R5" s="150"/>
      <c r="S5" s="152"/>
      <c r="T5" s="150"/>
      <c r="U5" s="152"/>
      <c r="V5" s="158"/>
      <c r="W5" s="154"/>
      <c r="X5" s="150"/>
      <c r="Y5" s="152"/>
      <c r="Z5" s="150"/>
      <c r="AA5" s="152"/>
      <c r="AB5" s="150"/>
      <c r="AC5" s="152"/>
      <c r="AD5" s="150"/>
      <c r="AE5" s="152"/>
      <c r="AF5" s="150"/>
      <c r="AG5" s="152"/>
      <c r="AH5" s="150"/>
      <c r="AI5" s="152"/>
      <c r="AJ5" s="150"/>
      <c r="AK5" s="152"/>
      <c r="AL5" s="618"/>
      <c r="AM5" s="1018"/>
      <c r="AN5" s="177"/>
      <c r="AO5" s="179"/>
      <c r="AP5" s="155"/>
      <c r="AQ5" s="156"/>
      <c r="AR5" s="158"/>
      <c r="AS5" s="156"/>
      <c r="AT5" s="158"/>
      <c r="AU5" s="156"/>
      <c r="AV5" s="158"/>
      <c r="AW5" s="156"/>
      <c r="AX5" s="158"/>
      <c r="AY5" s="156"/>
      <c r="AZ5" s="158"/>
      <c r="BA5" s="160"/>
    </row>
    <row r="6" spans="1:53" s="78" customFormat="1" ht="14.25">
      <c r="A6" s="107" t="s">
        <v>31</v>
      </c>
      <c r="B6" s="112">
        <v>1275632</v>
      </c>
      <c r="C6" s="79">
        <v>4140473</v>
      </c>
      <c r="D6" s="113">
        <v>112575</v>
      </c>
      <c r="E6" s="82">
        <v>561941</v>
      </c>
      <c r="F6" s="114">
        <v>225940</v>
      </c>
      <c r="G6" s="86">
        <v>654577</v>
      </c>
      <c r="H6" s="114">
        <v>2961408</v>
      </c>
      <c r="I6" s="86">
        <v>8814816</v>
      </c>
      <c r="J6" s="114">
        <v>306336</v>
      </c>
      <c r="K6" s="86">
        <v>814286</v>
      </c>
      <c r="L6" s="114">
        <v>481120</v>
      </c>
      <c r="M6" s="86">
        <v>1521727</v>
      </c>
      <c r="N6" s="114">
        <v>979133</v>
      </c>
      <c r="O6" s="616">
        <v>2753544</v>
      </c>
      <c r="P6" s="113">
        <v>225610</v>
      </c>
      <c r="Q6" s="82">
        <v>576929</v>
      </c>
      <c r="R6" s="80">
        <v>693831</v>
      </c>
      <c r="S6" s="82">
        <v>1821448</v>
      </c>
      <c r="T6" s="80">
        <v>295206</v>
      </c>
      <c r="U6" s="82">
        <v>1094557</v>
      </c>
      <c r="V6" s="84">
        <v>5930507</v>
      </c>
      <c r="W6" s="86">
        <v>16697134</v>
      </c>
      <c r="X6" s="80">
        <v>4255255</v>
      </c>
      <c r="Y6" s="82">
        <v>12359925</v>
      </c>
      <c r="Z6" s="87">
        <v>170087</v>
      </c>
      <c r="AA6" s="88">
        <v>592843</v>
      </c>
      <c r="AB6" s="80">
        <v>918508</v>
      </c>
      <c r="AC6" s="82">
        <v>2595240</v>
      </c>
      <c r="AD6" s="80">
        <v>2193417</v>
      </c>
      <c r="AE6" s="82">
        <v>6032862</v>
      </c>
      <c r="AF6" s="80">
        <v>2155621</v>
      </c>
      <c r="AG6" s="82">
        <v>6266977</v>
      </c>
      <c r="AH6" s="80">
        <v>1048147</v>
      </c>
      <c r="AI6" s="82">
        <v>3310813</v>
      </c>
      <c r="AJ6" s="80">
        <v>440481</v>
      </c>
      <c r="AK6" s="82">
        <v>1321257</v>
      </c>
      <c r="AL6" s="620"/>
      <c r="AM6" s="83"/>
      <c r="AN6" s="183">
        <v>4464216</v>
      </c>
      <c r="AO6" s="1019">
        <v>13312883</v>
      </c>
      <c r="AP6" s="180">
        <v>653498</v>
      </c>
      <c r="AQ6" s="101">
        <v>1926933</v>
      </c>
      <c r="AR6" s="102">
        <v>460016</v>
      </c>
      <c r="AS6" s="103">
        <v>1242608</v>
      </c>
      <c r="AT6" s="84">
        <v>889315</v>
      </c>
      <c r="AU6" s="85">
        <v>2610516</v>
      </c>
      <c r="AV6" s="105">
        <f>SUM(B6+D6+F6+H6+J6+L6+N6+P6+R6+T6+V6+X6+Z6+AB6+AD6+AF6+AH6+AJ6+AL6+AN6+AP6+AR6+AT6)</f>
        <v>31135859</v>
      </c>
      <c r="AW6" s="115">
        <f>SUM(C6+E6+G6+I6+K6+M6+O6+Q6+S6+U6+W6+Y6+AA6+AC6+AE6+AG6+AI6+AK6+AM6+AO6+AQ6+AS6+AU6)</f>
        <v>91024289</v>
      </c>
      <c r="AX6" s="102">
        <v>41699290</v>
      </c>
      <c r="AY6" s="103">
        <v>126405547</v>
      </c>
      <c r="AZ6" s="105">
        <f aca="true" t="shared" si="0" ref="AZ6:BA8">AV6+AX6</f>
        <v>72835149</v>
      </c>
      <c r="BA6" s="117">
        <f t="shared" si="0"/>
        <v>217429836</v>
      </c>
    </row>
    <row r="7" spans="1:53" s="78" customFormat="1" ht="14.25">
      <c r="A7" s="107" t="s">
        <v>32</v>
      </c>
      <c r="B7" s="112">
        <v>3748887</v>
      </c>
      <c r="C7" s="79">
        <v>9381221</v>
      </c>
      <c r="D7" s="113">
        <v>38035</v>
      </c>
      <c r="E7" s="82">
        <v>195904</v>
      </c>
      <c r="F7" s="114">
        <v>591681</v>
      </c>
      <c r="G7" s="86">
        <v>1272015</v>
      </c>
      <c r="H7" s="114">
        <v>3760631</v>
      </c>
      <c r="I7" s="86">
        <v>8002894</v>
      </c>
      <c r="J7" s="114">
        <v>92443</v>
      </c>
      <c r="K7" s="86">
        <v>264353</v>
      </c>
      <c r="L7" s="114">
        <v>55164</v>
      </c>
      <c r="M7" s="86">
        <v>129058</v>
      </c>
      <c r="N7" s="114">
        <v>7927</v>
      </c>
      <c r="O7" s="616">
        <v>26408</v>
      </c>
      <c r="P7" s="113"/>
      <c r="Q7" s="82"/>
      <c r="R7" s="80">
        <v>1403228</v>
      </c>
      <c r="S7" s="82">
        <v>3662062</v>
      </c>
      <c r="T7" s="80">
        <v>133987</v>
      </c>
      <c r="U7" s="82">
        <v>324507</v>
      </c>
      <c r="V7" s="84">
        <v>12967046</v>
      </c>
      <c r="W7" s="86">
        <v>30681528</v>
      </c>
      <c r="X7" s="80">
        <v>7494873</v>
      </c>
      <c r="Y7" s="82">
        <v>15906514</v>
      </c>
      <c r="Z7" s="87">
        <v>429140</v>
      </c>
      <c r="AA7" s="88">
        <v>1052215</v>
      </c>
      <c r="AB7" s="80">
        <v>160993</v>
      </c>
      <c r="AC7" s="82">
        <v>240714</v>
      </c>
      <c r="AD7" s="80">
        <v>5742317</v>
      </c>
      <c r="AE7" s="82">
        <v>10280334</v>
      </c>
      <c r="AF7" s="80">
        <v>3722715</v>
      </c>
      <c r="AG7" s="82">
        <v>9838100</v>
      </c>
      <c r="AH7" s="80">
        <v>538096</v>
      </c>
      <c r="AI7" s="82">
        <v>1348724</v>
      </c>
      <c r="AJ7" s="80">
        <v>1344795</v>
      </c>
      <c r="AK7" s="82">
        <v>3772484</v>
      </c>
      <c r="AL7" s="620"/>
      <c r="AM7" s="83"/>
      <c r="AN7" s="183">
        <v>27064955</v>
      </c>
      <c r="AO7" s="1019">
        <v>35445024</v>
      </c>
      <c r="AP7" s="180">
        <v>161873</v>
      </c>
      <c r="AQ7" s="101">
        <v>581507</v>
      </c>
      <c r="AR7" s="102">
        <v>523685</v>
      </c>
      <c r="AS7" s="103">
        <v>1069006</v>
      </c>
      <c r="AT7" s="84">
        <v>1262191</v>
      </c>
      <c r="AU7" s="85">
        <v>4106032</v>
      </c>
      <c r="AV7" s="105">
        <f>SUM(B7+D7+F7+H7+J7+L7+N7+P7+R7+T7+V7+X7+Z7+AB7+AD7+AF7+AH7+AJ7+AL7+AN7+AP7+AR7+AT7)</f>
        <v>71244662</v>
      </c>
      <c r="AW7" s="115">
        <f aca="true" t="shared" si="1" ref="AW7:AW31">SUM(C7+E7+G7+I7+K7+M7+O7+Q7+S7+U7+W7+Y7+AA7+AC7+AE7+AG7+AI7+AK7+AM7+AO7+AQ7+AS7+AU7)</f>
        <v>137580604</v>
      </c>
      <c r="AX7" s="102">
        <v>368646881</v>
      </c>
      <c r="AY7" s="103">
        <v>948196566</v>
      </c>
      <c r="AZ7" s="105">
        <f t="shared" si="0"/>
        <v>439891543</v>
      </c>
      <c r="BA7" s="117">
        <f t="shared" si="0"/>
        <v>1085777170</v>
      </c>
    </row>
    <row r="8" spans="1:53" s="78" customFormat="1" ht="14.25">
      <c r="A8" s="107" t="s">
        <v>33</v>
      </c>
      <c r="B8" s="112">
        <v>27096</v>
      </c>
      <c r="C8" s="79">
        <v>78737</v>
      </c>
      <c r="D8" s="113">
        <v>32</v>
      </c>
      <c r="E8" s="82">
        <v>119</v>
      </c>
      <c r="F8" s="114">
        <v>137711</v>
      </c>
      <c r="G8" s="86">
        <v>770110</v>
      </c>
      <c r="H8" s="114">
        <v>37441</v>
      </c>
      <c r="I8" s="86">
        <v>145587</v>
      </c>
      <c r="J8" s="114"/>
      <c r="K8" s="86"/>
      <c r="L8" s="114">
        <v>16232</v>
      </c>
      <c r="M8" s="86">
        <v>44226</v>
      </c>
      <c r="N8" s="114"/>
      <c r="O8" s="616"/>
      <c r="P8" s="113">
        <v>3046</v>
      </c>
      <c r="Q8" s="82">
        <v>11008</v>
      </c>
      <c r="R8" s="80">
        <v>10320</v>
      </c>
      <c r="S8" s="82">
        <v>29078</v>
      </c>
      <c r="T8" s="80">
        <v>1268</v>
      </c>
      <c r="U8" s="82">
        <v>4221</v>
      </c>
      <c r="V8" s="84">
        <v>705720</v>
      </c>
      <c r="W8" s="86">
        <v>1920296</v>
      </c>
      <c r="X8" s="80">
        <v>567672</v>
      </c>
      <c r="Y8" s="82">
        <v>1609812</v>
      </c>
      <c r="Z8" s="87"/>
      <c r="AA8" s="88"/>
      <c r="AB8" s="80">
        <v>285</v>
      </c>
      <c r="AC8" s="82">
        <v>798</v>
      </c>
      <c r="AD8" s="80">
        <v>44015</v>
      </c>
      <c r="AE8" s="82">
        <v>89018</v>
      </c>
      <c r="AF8" s="80">
        <v>34357</v>
      </c>
      <c r="AG8" s="82">
        <v>74886</v>
      </c>
      <c r="AH8" s="80">
        <v>57209</v>
      </c>
      <c r="AI8" s="82">
        <v>139390</v>
      </c>
      <c r="AJ8" s="80">
        <v>13570</v>
      </c>
      <c r="AK8" s="82">
        <v>31120</v>
      </c>
      <c r="AL8" s="620"/>
      <c r="AM8" s="83"/>
      <c r="AN8" s="183">
        <v>565856</v>
      </c>
      <c r="AO8" s="1019">
        <v>1571886</v>
      </c>
      <c r="AP8" s="180">
        <v>955</v>
      </c>
      <c r="AQ8" s="101">
        <v>2650</v>
      </c>
      <c r="AR8" s="102">
        <v>26952</v>
      </c>
      <c r="AS8" s="103">
        <v>85999</v>
      </c>
      <c r="AT8" s="84">
        <v>18383</v>
      </c>
      <c r="AU8" s="85">
        <v>42623</v>
      </c>
      <c r="AV8" s="105">
        <f>SUM(B8+D8+F8+H8+J8+L8+N8+P8+R8+T8+V8+X8+Z8+AB8+AD8+AF8+AH8+AJ8+AL8+AN8+AP8+AR8+AT8)</f>
        <v>2268120</v>
      </c>
      <c r="AW8" s="115">
        <f t="shared" si="1"/>
        <v>6651564</v>
      </c>
      <c r="AX8" s="102">
        <v>36513989</v>
      </c>
      <c r="AY8" s="103">
        <v>96398298</v>
      </c>
      <c r="AZ8" s="105">
        <f t="shared" si="0"/>
        <v>38782109</v>
      </c>
      <c r="BA8" s="117">
        <f t="shared" si="0"/>
        <v>103049862</v>
      </c>
    </row>
    <row r="9" spans="1:53" s="78" customFormat="1" ht="14.25">
      <c r="A9" s="107" t="s">
        <v>34</v>
      </c>
      <c r="B9" s="112"/>
      <c r="C9" s="79"/>
      <c r="D9" s="113"/>
      <c r="E9" s="82"/>
      <c r="F9" s="114"/>
      <c r="G9" s="86"/>
      <c r="H9" s="114"/>
      <c r="I9" s="86"/>
      <c r="J9" s="114"/>
      <c r="K9" s="86"/>
      <c r="L9" s="114"/>
      <c r="M9" s="86"/>
      <c r="N9" s="114"/>
      <c r="O9" s="616"/>
      <c r="P9" s="113"/>
      <c r="Q9" s="82"/>
      <c r="R9" s="80"/>
      <c r="S9" s="82"/>
      <c r="T9" s="80"/>
      <c r="U9" s="82"/>
      <c r="V9" s="84"/>
      <c r="W9" s="86"/>
      <c r="X9" s="80"/>
      <c r="Y9" s="82"/>
      <c r="Z9" s="87"/>
      <c r="AA9" s="88"/>
      <c r="AB9" s="80"/>
      <c r="AC9" s="82"/>
      <c r="AD9" s="80"/>
      <c r="AE9" s="82"/>
      <c r="AF9" s="80"/>
      <c r="AG9" s="82"/>
      <c r="AH9" s="80"/>
      <c r="AI9" s="82"/>
      <c r="AJ9" s="80"/>
      <c r="AK9" s="82"/>
      <c r="AL9" s="620"/>
      <c r="AM9" s="83"/>
      <c r="AN9" s="84"/>
      <c r="AO9" s="1019"/>
      <c r="AP9" s="180"/>
      <c r="AQ9" s="101"/>
      <c r="AR9" s="102"/>
      <c r="AS9" s="103"/>
      <c r="AT9" s="84"/>
      <c r="AU9" s="85"/>
      <c r="AV9" s="105"/>
      <c r="AW9" s="115">
        <f t="shared" si="1"/>
        <v>0</v>
      </c>
      <c r="AX9" s="102"/>
      <c r="AY9" s="103"/>
      <c r="AZ9" s="105"/>
      <c r="BA9" s="117"/>
    </row>
    <row r="10" spans="1:53" s="78" customFormat="1" ht="14.25">
      <c r="A10" s="107" t="s">
        <v>35</v>
      </c>
      <c r="B10" s="120">
        <v>163667</v>
      </c>
      <c r="C10" s="79">
        <v>489275</v>
      </c>
      <c r="D10" s="121">
        <v>115627</v>
      </c>
      <c r="E10" s="82">
        <v>316787</v>
      </c>
      <c r="F10" s="115">
        <v>63615</v>
      </c>
      <c r="G10" s="86">
        <v>197853</v>
      </c>
      <c r="H10" s="115">
        <v>955108</v>
      </c>
      <c r="I10" s="86">
        <v>2158430</v>
      </c>
      <c r="J10" s="115">
        <v>112612</v>
      </c>
      <c r="K10" s="86">
        <v>243580</v>
      </c>
      <c r="L10" s="115">
        <v>74966</v>
      </c>
      <c r="M10" s="86">
        <v>169435</v>
      </c>
      <c r="N10" s="115">
        <v>8233</v>
      </c>
      <c r="O10" s="616">
        <v>23116</v>
      </c>
      <c r="P10" s="121">
        <v>14491</v>
      </c>
      <c r="Q10" s="82">
        <v>37495</v>
      </c>
      <c r="R10" s="91"/>
      <c r="S10" s="82"/>
      <c r="T10" s="91">
        <v>62690</v>
      </c>
      <c r="U10" s="82">
        <v>128313</v>
      </c>
      <c r="V10" s="84">
        <v>90954</v>
      </c>
      <c r="W10" s="86">
        <v>144391</v>
      </c>
      <c r="X10" s="91">
        <v>969011</v>
      </c>
      <c r="Y10" s="82">
        <v>2240238</v>
      </c>
      <c r="Z10" s="87">
        <v>453118</v>
      </c>
      <c r="AA10" s="88">
        <v>1091952</v>
      </c>
      <c r="AB10" s="91">
        <v>104009</v>
      </c>
      <c r="AC10" s="82">
        <v>235436</v>
      </c>
      <c r="AD10" s="122">
        <v>223206</v>
      </c>
      <c r="AE10" s="82">
        <v>496914</v>
      </c>
      <c r="AF10" s="91">
        <v>403355</v>
      </c>
      <c r="AG10" s="82">
        <v>1007242</v>
      </c>
      <c r="AH10" s="91">
        <v>733563</v>
      </c>
      <c r="AI10" s="82">
        <v>1930209</v>
      </c>
      <c r="AJ10" s="91">
        <v>1518463</v>
      </c>
      <c r="AK10" s="82">
        <v>3972476</v>
      </c>
      <c r="AL10" s="620"/>
      <c r="AM10" s="83"/>
      <c r="AN10" s="183">
        <v>2026167</v>
      </c>
      <c r="AO10" s="1019">
        <v>5081187</v>
      </c>
      <c r="AP10" s="180">
        <v>135026</v>
      </c>
      <c r="AQ10" s="101">
        <v>328306</v>
      </c>
      <c r="AR10" s="102">
        <v>128398</v>
      </c>
      <c r="AS10" s="103">
        <v>377805</v>
      </c>
      <c r="AT10" s="105">
        <f>859944+666808</f>
        <v>1526752</v>
      </c>
      <c r="AU10" s="85">
        <f>2168989+1868782</f>
        <v>4037771</v>
      </c>
      <c r="AV10" s="105">
        <f aca="true" t="shared" si="2" ref="AV10:AV15">SUM(B10+D10+F10+H10+J10+L10+N10+P10+R10+T10+V10+X10+Z10+AB10+AD10+AF10+AH10+AJ10+AL10+AN10+AP10+AR10+AT10)</f>
        <v>9883031</v>
      </c>
      <c r="AW10" s="115">
        <f t="shared" si="1"/>
        <v>24708211</v>
      </c>
      <c r="AX10" s="105"/>
      <c r="AY10" s="103"/>
      <c r="AZ10" s="105">
        <f aca="true" t="shared" si="3" ref="AZ10:AZ22">AV10+AX10</f>
        <v>9883031</v>
      </c>
      <c r="BA10" s="117">
        <f aca="true" t="shared" si="4" ref="BA10:BA22">AW10+AY10</f>
        <v>24708211</v>
      </c>
    </row>
    <row r="11" spans="1:59" s="78" customFormat="1" ht="14.25">
      <c r="A11" s="107" t="s">
        <v>36</v>
      </c>
      <c r="B11" s="112">
        <v>9519447</v>
      </c>
      <c r="C11" s="79">
        <v>29346894</v>
      </c>
      <c r="D11" s="113">
        <v>472521</v>
      </c>
      <c r="E11" s="82">
        <v>1130121</v>
      </c>
      <c r="F11" s="114">
        <v>1873269</v>
      </c>
      <c r="G11" s="86">
        <v>4948399</v>
      </c>
      <c r="H11" s="114">
        <v>9257286</v>
      </c>
      <c r="I11" s="86">
        <v>24874918</v>
      </c>
      <c r="J11" s="114">
        <v>574583</v>
      </c>
      <c r="K11" s="86">
        <v>1601125</v>
      </c>
      <c r="L11" s="114">
        <v>2051285</v>
      </c>
      <c r="M11" s="86">
        <v>6254328</v>
      </c>
      <c r="N11" s="114">
        <v>487723</v>
      </c>
      <c r="O11" s="616">
        <v>1202518</v>
      </c>
      <c r="P11" s="113">
        <v>78555</v>
      </c>
      <c r="Q11" s="82">
        <v>169805</v>
      </c>
      <c r="R11" s="80">
        <v>1538141</v>
      </c>
      <c r="S11" s="82">
        <v>4594909</v>
      </c>
      <c r="T11" s="80">
        <v>376164</v>
      </c>
      <c r="U11" s="82">
        <v>1141633</v>
      </c>
      <c r="V11" s="84">
        <v>19671478</v>
      </c>
      <c r="W11" s="86">
        <v>48233929</v>
      </c>
      <c r="X11" s="80">
        <v>41438726</v>
      </c>
      <c r="Y11" s="82">
        <v>102244832</v>
      </c>
      <c r="Z11" s="80">
        <v>483368</v>
      </c>
      <c r="AA11" s="82">
        <v>1288393</v>
      </c>
      <c r="AB11" s="80">
        <v>7179411</v>
      </c>
      <c r="AC11" s="82">
        <v>22549699</v>
      </c>
      <c r="AD11" s="80">
        <v>2944630</v>
      </c>
      <c r="AE11" s="82">
        <v>7940242</v>
      </c>
      <c r="AF11" s="80">
        <v>8491646</v>
      </c>
      <c r="AG11" s="82">
        <v>25834689</v>
      </c>
      <c r="AH11" s="80">
        <v>3658704</v>
      </c>
      <c r="AI11" s="82">
        <v>10186606</v>
      </c>
      <c r="AJ11" s="80">
        <v>3496008</v>
      </c>
      <c r="AK11" s="82">
        <v>10823828</v>
      </c>
      <c r="AL11" s="620"/>
      <c r="AM11" s="83"/>
      <c r="AN11" s="183">
        <v>10183794</v>
      </c>
      <c r="AO11" s="1019">
        <v>27360505</v>
      </c>
      <c r="AP11" s="180">
        <v>282117</v>
      </c>
      <c r="AQ11" s="101">
        <v>834819</v>
      </c>
      <c r="AR11" s="102">
        <v>1861597</v>
      </c>
      <c r="AS11" s="103">
        <v>4356145</v>
      </c>
      <c r="AT11" s="84">
        <v>2214094</v>
      </c>
      <c r="AU11" s="85">
        <v>6095692</v>
      </c>
      <c r="AV11" s="105">
        <f t="shared" si="2"/>
        <v>128134547</v>
      </c>
      <c r="AW11" s="115">
        <f t="shared" si="1"/>
        <v>343014029</v>
      </c>
      <c r="AX11" s="102">
        <v>172726382</v>
      </c>
      <c r="AY11" s="103">
        <v>477648686</v>
      </c>
      <c r="AZ11" s="105">
        <f t="shared" si="3"/>
        <v>300860929</v>
      </c>
      <c r="BA11" s="117">
        <f t="shared" si="4"/>
        <v>820662715</v>
      </c>
      <c r="BF11" s="144"/>
      <c r="BG11" s="144"/>
    </row>
    <row r="12" spans="1:53" s="78" customFormat="1" ht="14.25">
      <c r="A12" s="107" t="s">
        <v>37</v>
      </c>
      <c r="B12" s="112"/>
      <c r="C12" s="79"/>
      <c r="D12" s="113"/>
      <c r="E12" s="82"/>
      <c r="F12" s="114"/>
      <c r="G12" s="86"/>
      <c r="H12" s="114"/>
      <c r="I12" s="86"/>
      <c r="J12" s="114"/>
      <c r="K12" s="86"/>
      <c r="L12" s="114"/>
      <c r="M12" s="86"/>
      <c r="N12" s="114"/>
      <c r="O12" s="616"/>
      <c r="P12" s="113"/>
      <c r="Q12" s="82"/>
      <c r="R12" s="80"/>
      <c r="S12" s="82"/>
      <c r="T12" s="80"/>
      <c r="U12" s="82"/>
      <c r="V12" s="84">
        <v>6081655</v>
      </c>
      <c r="W12" s="86">
        <v>14201833</v>
      </c>
      <c r="X12" s="80"/>
      <c r="Y12" s="82"/>
      <c r="Z12" s="80"/>
      <c r="AA12" s="82"/>
      <c r="AB12" s="80"/>
      <c r="AC12" s="82"/>
      <c r="AD12" s="80">
        <v>191262</v>
      </c>
      <c r="AE12" s="82">
        <v>443080</v>
      </c>
      <c r="AF12" s="80"/>
      <c r="AG12" s="82"/>
      <c r="AH12" s="80"/>
      <c r="AI12" s="82"/>
      <c r="AJ12" s="80"/>
      <c r="AK12" s="82"/>
      <c r="AL12" s="620"/>
      <c r="AM12" s="83"/>
      <c r="AN12" s="183">
        <v>4728692</v>
      </c>
      <c r="AO12" s="1019">
        <v>9490554</v>
      </c>
      <c r="AP12" s="180"/>
      <c r="AQ12" s="101"/>
      <c r="AR12" s="102"/>
      <c r="AS12" s="103"/>
      <c r="AT12" s="84"/>
      <c r="AU12" s="85"/>
      <c r="AV12" s="105">
        <f t="shared" si="2"/>
        <v>11001609</v>
      </c>
      <c r="AW12" s="115">
        <f t="shared" si="1"/>
        <v>24135467</v>
      </c>
      <c r="AX12" s="102"/>
      <c r="AY12" s="103"/>
      <c r="AZ12" s="105">
        <f t="shared" si="3"/>
        <v>11001609</v>
      </c>
      <c r="BA12" s="117">
        <f t="shared" si="4"/>
        <v>24135467</v>
      </c>
    </row>
    <row r="13" spans="1:53" s="78" customFormat="1" ht="14.25">
      <c r="A13" s="107" t="s">
        <v>38</v>
      </c>
      <c r="B13" s="112"/>
      <c r="C13" s="79"/>
      <c r="D13" s="113">
        <v>12152</v>
      </c>
      <c r="E13" s="82">
        <v>34749</v>
      </c>
      <c r="F13" s="114"/>
      <c r="G13" s="86"/>
      <c r="H13" s="114"/>
      <c r="I13" s="86"/>
      <c r="J13" s="114"/>
      <c r="K13" s="86"/>
      <c r="L13" s="114">
        <v>1983236</v>
      </c>
      <c r="M13" s="86">
        <v>5483236</v>
      </c>
      <c r="N13" s="114"/>
      <c r="O13" s="616"/>
      <c r="P13" s="113">
        <v>23056</v>
      </c>
      <c r="Q13" s="82">
        <v>75313</v>
      </c>
      <c r="R13" s="80"/>
      <c r="S13" s="82"/>
      <c r="T13" s="80">
        <v>33402</v>
      </c>
      <c r="U13" s="82">
        <v>95339</v>
      </c>
      <c r="V13" s="84">
        <v>10523942</v>
      </c>
      <c r="W13" s="86">
        <v>19210940</v>
      </c>
      <c r="X13" s="80"/>
      <c r="Y13" s="82"/>
      <c r="Z13" s="80"/>
      <c r="AA13" s="82"/>
      <c r="AB13" s="80"/>
      <c r="AC13" s="82"/>
      <c r="AD13" s="80"/>
      <c r="AE13" s="82"/>
      <c r="AF13" s="80"/>
      <c r="AG13" s="82"/>
      <c r="AH13" s="80"/>
      <c r="AI13" s="82"/>
      <c r="AJ13" s="80"/>
      <c r="AK13" s="82"/>
      <c r="AL13" s="620"/>
      <c r="AM13" s="83"/>
      <c r="AN13" s="183">
        <v>12843777</v>
      </c>
      <c r="AO13" s="1019">
        <v>31344934</v>
      </c>
      <c r="AP13" s="180">
        <v>895</v>
      </c>
      <c r="AQ13" s="101">
        <v>5026</v>
      </c>
      <c r="AR13" s="102"/>
      <c r="AS13" s="103"/>
      <c r="AT13" s="84"/>
      <c r="AU13" s="85"/>
      <c r="AV13" s="105">
        <f t="shared" si="2"/>
        <v>25420460</v>
      </c>
      <c r="AW13" s="115">
        <f t="shared" si="1"/>
        <v>56249537</v>
      </c>
      <c r="AX13" s="102"/>
      <c r="AY13" s="103"/>
      <c r="AZ13" s="105">
        <f t="shared" si="3"/>
        <v>25420460</v>
      </c>
      <c r="BA13" s="117">
        <f t="shared" si="4"/>
        <v>56249537</v>
      </c>
    </row>
    <row r="14" spans="1:53" s="78" customFormat="1" ht="14.25">
      <c r="A14" s="107" t="s">
        <v>39</v>
      </c>
      <c r="B14" s="120">
        <v>22775</v>
      </c>
      <c r="C14" s="79">
        <v>71913</v>
      </c>
      <c r="D14" s="121">
        <v>6505</v>
      </c>
      <c r="E14" s="82">
        <v>40783</v>
      </c>
      <c r="F14" s="115">
        <v>916</v>
      </c>
      <c r="G14" s="86">
        <v>3698</v>
      </c>
      <c r="H14" s="115">
        <v>44951</v>
      </c>
      <c r="I14" s="86">
        <v>142185</v>
      </c>
      <c r="J14" s="115">
        <v>6087</v>
      </c>
      <c r="K14" s="86">
        <v>17178</v>
      </c>
      <c r="L14" s="115"/>
      <c r="M14" s="86"/>
      <c r="N14" s="115"/>
      <c r="O14" s="616"/>
      <c r="P14" s="121"/>
      <c r="Q14" s="82"/>
      <c r="R14" s="91"/>
      <c r="S14" s="82"/>
      <c r="T14" s="91">
        <v>150</v>
      </c>
      <c r="U14" s="82">
        <v>550</v>
      </c>
      <c r="V14" s="105"/>
      <c r="W14" s="86"/>
      <c r="X14" s="91">
        <v>11542</v>
      </c>
      <c r="Y14" s="82">
        <v>39840</v>
      </c>
      <c r="Z14" s="87">
        <v>4374</v>
      </c>
      <c r="AA14" s="88">
        <v>27132</v>
      </c>
      <c r="AB14" s="91"/>
      <c r="AC14" s="82"/>
      <c r="AD14" s="122">
        <v>4935</v>
      </c>
      <c r="AE14" s="82">
        <v>10738</v>
      </c>
      <c r="AF14" s="91"/>
      <c r="AG14" s="82"/>
      <c r="AH14" s="91"/>
      <c r="AI14" s="82"/>
      <c r="AJ14" s="91">
        <v>1125</v>
      </c>
      <c r="AK14" s="82">
        <v>2180</v>
      </c>
      <c r="AL14" s="620"/>
      <c r="AM14" s="83"/>
      <c r="AN14" s="183">
        <v>30227</v>
      </c>
      <c r="AO14" s="1019">
        <v>43387</v>
      </c>
      <c r="AP14" s="180">
        <v>11055</v>
      </c>
      <c r="AQ14" s="101">
        <v>42422</v>
      </c>
      <c r="AR14" s="102"/>
      <c r="AS14" s="103">
        <v>-250</v>
      </c>
      <c r="AT14" s="105"/>
      <c r="AU14" s="85"/>
      <c r="AV14" s="105">
        <f t="shared" si="2"/>
        <v>144642</v>
      </c>
      <c r="AW14" s="115">
        <f t="shared" si="1"/>
        <v>441756</v>
      </c>
      <c r="AX14" s="105"/>
      <c r="AY14" s="103"/>
      <c r="AZ14" s="105">
        <f t="shared" si="3"/>
        <v>144642</v>
      </c>
      <c r="BA14" s="117">
        <f t="shared" si="4"/>
        <v>441756</v>
      </c>
    </row>
    <row r="15" spans="1:53" s="78" customFormat="1" ht="14.25">
      <c r="A15" s="107" t="s">
        <v>40</v>
      </c>
      <c r="B15" s="112">
        <v>-104</v>
      </c>
      <c r="C15" s="79">
        <v>2028</v>
      </c>
      <c r="D15" s="113">
        <v>1511</v>
      </c>
      <c r="E15" s="82">
        <v>5336</v>
      </c>
      <c r="F15" s="114">
        <v>8000</v>
      </c>
      <c r="G15" s="86">
        <v>15550</v>
      </c>
      <c r="H15" s="114">
        <v>19744</v>
      </c>
      <c r="I15" s="86">
        <v>65728</v>
      </c>
      <c r="J15" s="114">
        <v>4335</v>
      </c>
      <c r="K15" s="86">
        <v>9588</v>
      </c>
      <c r="L15" s="114"/>
      <c r="M15" s="86"/>
      <c r="N15" s="114">
        <v>2671</v>
      </c>
      <c r="O15" s="616">
        <v>4002</v>
      </c>
      <c r="P15" s="113"/>
      <c r="Q15" s="82">
        <v>8500</v>
      </c>
      <c r="R15" s="80"/>
      <c r="S15" s="82"/>
      <c r="T15" s="80">
        <v>1033</v>
      </c>
      <c r="U15" s="82">
        <v>8283</v>
      </c>
      <c r="V15" s="84">
        <v>84096</v>
      </c>
      <c r="W15" s="86">
        <v>273053</v>
      </c>
      <c r="X15" s="80">
        <v>263688</v>
      </c>
      <c r="Y15" s="82">
        <v>818287</v>
      </c>
      <c r="Z15" s="87"/>
      <c r="AA15" s="88"/>
      <c r="AB15" s="80">
        <v>3457</v>
      </c>
      <c r="AC15" s="82">
        <v>11716</v>
      </c>
      <c r="AD15" s="80"/>
      <c r="AE15" s="82"/>
      <c r="AF15" s="80">
        <v>27759</v>
      </c>
      <c r="AG15" s="82">
        <v>71253</v>
      </c>
      <c r="AH15" s="80">
        <v>19965</v>
      </c>
      <c r="AI15" s="82">
        <v>55345</v>
      </c>
      <c r="AJ15" s="80">
        <v>3000</v>
      </c>
      <c r="AK15" s="82">
        <v>13054</v>
      </c>
      <c r="AL15" s="620"/>
      <c r="AM15" s="83"/>
      <c r="AN15" s="183">
        <v>5803</v>
      </c>
      <c r="AO15" s="1019">
        <v>16523</v>
      </c>
      <c r="AP15" s="180"/>
      <c r="AQ15" s="101"/>
      <c r="AR15" s="102">
        <v>18065</v>
      </c>
      <c r="AS15" s="103">
        <v>42592</v>
      </c>
      <c r="AT15" s="84">
        <v>2416</v>
      </c>
      <c r="AU15" s="85">
        <v>4199</v>
      </c>
      <c r="AV15" s="105">
        <f t="shared" si="2"/>
        <v>465439</v>
      </c>
      <c r="AW15" s="115">
        <f t="shared" si="1"/>
        <v>1425037</v>
      </c>
      <c r="AX15" s="84">
        <f>32779+57300+31459+6624</f>
        <v>128162</v>
      </c>
      <c r="AY15" s="103">
        <f>81701+148914+90142+18223</f>
        <v>338980</v>
      </c>
      <c r="AZ15" s="105">
        <f t="shared" si="3"/>
        <v>593601</v>
      </c>
      <c r="BA15" s="117">
        <f t="shared" si="4"/>
        <v>1764017</v>
      </c>
    </row>
    <row r="16" spans="1:53" s="78" customFormat="1" ht="14.25">
      <c r="A16" s="107" t="s">
        <v>41</v>
      </c>
      <c r="B16" s="112"/>
      <c r="C16" s="79"/>
      <c r="D16" s="113"/>
      <c r="E16" s="82"/>
      <c r="F16" s="114"/>
      <c r="G16" s="86"/>
      <c r="H16" s="114">
        <v>12665</v>
      </c>
      <c r="I16" s="86">
        <v>417855</v>
      </c>
      <c r="J16" s="114"/>
      <c r="K16" s="86"/>
      <c r="L16" s="114"/>
      <c r="M16" s="86"/>
      <c r="N16" s="114"/>
      <c r="O16" s="616"/>
      <c r="P16" s="113"/>
      <c r="Q16" s="82"/>
      <c r="R16" s="80"/>
      <c r="S16" s="82"/>
      <c r="T16" s="80"/>
      <c r="U16" s="82"/>
      <c r="V16" s="84"/>
      <c r="W16" s="86"/>
      <c r="X16" s="80"/>
      <c r="Y16" s="82"/>
      <c r="Z16" s="87"/>
      <c r="AA16" s="88"/>
      <c r="AB16" s="80"/>
      <c r="AC16" s="82"/>
      <c r="AD16" s="80"/>
      <c r="AE16" s="82"/>
      <c r="AF16" s="80"/>
      <c r="AG16" s="82"/>
      <c r="AH16" s="80"/>
      <c r="AI16" s="82"/>
      <c r="AJ16" s="80"/>
      <c r="AK16" s="82"/>
      <c r="AL16" s="620"/>
      <c r="AM16" s="83"/>
      <c r="AN16" s="183"/>
      <c r="AO16" s="1019"/>
      <c r="AP16" s="180"/>
      <c r="AQ16" s="101"/>
      <c r="AR16" s="102"/>
      <c r="AS16" s="103"/>
      <c r="AT16" s="84"/>
      <c r="AU16" s="85"/>
      <c r="AV16" s="105"/>
      <c r="AW16" s="115">
        <f t="shared" si="1"/>
        <v>417855</v>
      </c>
      <c r="AX16" s="84">
        <v>23528</v>
      </c>
      <c r="AY16" s="103">
        <v>42710</v>
      </c>
      <c r="AZ16" s="105">
        <f t="shared" si="3"/>
        <v>23528</v>
      </c>
      <c r="BA16" s="117">
        <f t="shared" si="4"/>
        <v>460565</v>
      </c>
    </row>
    <row r="17" spans="1:53" s="78" customFormat="1" ht="14.25">
      <c r="A17" s="107" t="s">
        <v>42</v>
      </c>
      <c r="B17" s="112"/>
      <c r="C17" s="79"/>
      <c r="D17" s="113"/>
      <c r="E17" s="82"/>
      <c r="F17" s="114"/>
      <c r="G17" s="86"/>
      <c r="H17" s="114"/>
      <c r="I17" s="86"/>
      <c r="J17" s="114"/>
      <c r="K17" s="86"/>
      <c r="L17" s="114"/>
      <c r="M17" s="86"/>
      <c r="N17" s="114"/>
      <c r="O17" s="616"/>
      <c r="P17" s="113"/>
      <c r="Q17" s="82"/>
      <c r="R17" s="80"/>
      <c r="S17" s="82"/>
      <c r="T17" s="80"/>
      <c r="U17" s="82"/>
      <c r="V17" s="84"/>
      <c r="W17" s="86"/>
      <c r="X17" s="80"/>
      <c r="Y17" s="82"/>
      <c r="Z17" s="87"/>
      <c r="AA17" s="88"/>
      <c r="AB17" s="80"/>
      <c r="AC17" s="82"/>
      <c r="AD17" s="80"/>
      <c r="AE17" s="82"/>
      <c r="AF17" s="80">
        <v>2999999</v>
      </c>
      <c r="AG17" s="82">
        <v>7676314</v>
      </c>
      <c r="AH17" s="80"/>
      <c r="AI17" s="82"/>
      <c r="AJ17" s="80"/>
      <c r="AK17" s="82"/>
      <c r="AL17" s="620"/>
      <c r="AM17" s="83"/>
      <c r="AN17" s="183"/>
      <c r="AO17" s="1019"/>
      <c r="AP17" s="180">
        <v>515</v>
      </c>
      <c r="AQ17" s="101">
        <v>2586</v>
      </c>
      <c r="AR17" s="102"/>
      <c r="AS17" s="103"/>
      <c r="AT17" s="84"/>
      <c r="AU17" s="85"/>
      <c r="AV17" s="105">
        <f aca="true" t="shared" si="5" ref="AV17:AV22">SUM(B17+D17+F17+H17+J17+L17+N17+P17+R17+T17+V17+X17+Z17+AB17+AD17+AF17+AH17+AJ17+AL17+AN17+AP17+AR17+AT17)</f>
        <v>3000514</v>
      </c>
      <c r="AW17" s="115">
        <f t="shared" si="1"/>
        <v>7678900</v>
      </c>
      <c r="AX17" s="84">
        <v>51</v>
      </c>
      <c r="AY17" s="103">
        <v>51</v>
      </c>
      <c r="AZ17" s="105">
        <f t="shared" si="3"/>
        <v>3000565</v>
      </c>
      <c r="BA17" s="117">
        <f t="shared" si="4"/>
        <v>7678951</v>
      </c>
    </row>
    <row r="18" spans="1:53" s="78" customFormat="1" ht="14.25">
      <c r="A18" s="107" t="s">
        <v>43</v>
      </c>
      <c r="B18" s="112"/>
      <c r="C18" s="79"/>
      <c r="D18" s="113"/>
      <c r="E18" s="82"/>
      <c r="F18" s="114"/>
      <c r="G18" s="86"/>
      <c r="H18" s="114"/>
      <c r="I18" s="86"/>
      <c r="J18" s="114"/>
      <c r="K18" s="86"/>
      <c r="L18" s="114"/>
      <c r="M18" s="86"/>
      <c r="N18" s="114"/>
      <c r="O18" s="616"/>
      <c r="P18" s="113"/>
      <c r="Q18" s="82"/>
      <c r="R18" s="80"/>
      <c r="S18" s="82"/>
      <c r="T18" s="80"/>
      <c r="U18" s="82"/>
      <c r="V18" s="84">
        <v>667950</v>
      </c>
      <c r="W18" s="86">
        <v>1900805</v>
      </c>
      <c r="X18" s="80"/>
      <c r="Y18" s="82"/>
      <c r="Z18" s="87"/>
      <c r="AA18" s="88"/>
      <c r="AB18" s="80"/>
      <c r="AC18" s="82"/>
      <c r="AD18" s="80"/>
      <c r="AE18" s="82"/>
      <c r="AF18" s="80"/>
      <c r="AG18" s="82"/>
      <c r="AH18" s="80"/>
      <c r="AI18" s="82"/>
      <c r="AJ18" s="80"/>
      <c r="AK18" s="82"/>
      <c r="AL18" s="620"/>
      <c r="AM18" s="83"/>
      <c r="AN18" s="183"/>
      <c r="AO18" s="1019"/>
      <c r="AP18" s="180"/>
      <c r="AQ18" s="101"/>
      <c r="AR18" s="102">
        <v>43623</v>
      </c>
      <c r="AS18" s="103">
        <v>113973</v>
      </c>
      <c r="AT18" s="84">
        <v>345291</v>
      </c>
      <c r="AU18" s="85">
        <v>794192</v>
      </c>
      <c r="AV18" s="105">
        <f t="shared" si="5"/>
        <v>1056864</v>
      </c>
      <c r="AW18" s="115">
        <f t="shared" si="1"/>
        <v>2808970</v>
      </c>
      <c r="AX18" s="84"/>
      <c r="AY18" s="103"/>
      <c r="AZ18" s="105">
        <f t="shared" si="3"/>
        <v>1056864</v>
      </c>
      <c r="BA18" s="117">
        <f t="shared" si="4"/>
        <v>2808970</v>
      </c>
    </row>
    <row r="19" spans="1:53" s="78" customFormat="1" ht="14.25">
      <c r="A19" s="107" t="s">
        <v>44</v>
      </c>
      <c r="B19" s="112"/>
      <c r="C19" s="79"/>
      <c r="D19" s="113"/>
      <c r="E19" s="82"/>
      <c r="F19" s="114"/>
      <c r="G19" s="86"/>
      <c r="H19" s="114"/>
      <c r="I19" s="86"/>
      <c r="J19" s="114"/>
      <c r="K19" s="86"/>
      <c r="L19" s="114"/>
      <c r="M19" s="86"/>
      <c r="N19" s="114"/>
      <c r="O19" s="616"/>
      <c r="P19" s="113"/>
      <c r="Q19" s="82"/>
      <c r="R19" s="80"/>
      <c r="S19" s="82"/>
      <c r="T19" s="80"/>
      <c r="U19" s="82"/>
      <c r="V19" s="84">
        <v>41807</v>
      </c>
      <c r="W19" s="86">
        <v>124926</v>
      </c>
      <c r="X19" s="80"/>
      <c r="Y19" s="82"/>
      <c r="Z19" s="87"/>
      <c r="AA19" s="88"/>
      <c r="AB19" s="80"/>
      <c r="AC19" s="82"/>
      <c r="AD19" s="80"/>
      <c r="AE19" s="82"/>
      <c r="AF19" s="80"/>
      <c r="AG19" s="82"/>
      <c r="AH19" s="80"/>
      <c r="AI19" s="82"/>
      <c r="AJ19" s="80"/>
      <c r="AK19" s="82"/>
      <c r="AL19" s="620"/>
      <c r="AM19" s="83"/>
      <c r="AN19" s="183"/>
      <c r="AO19" s="1019"/>
      <c r="AP19" s="180"/>
      <c r="AQ19" s="101"/>
      <c r="AR19" s="102"/>
      <c r="AS19" s="103"/>
      <c r="AT19" s="84"/>
      <c r="AU19" s="85"/>
      <c r="AV19" s="105">
        <f t="shared" si="5"/>
        <v>41807</v>
      </c>
      <c r="AW19" s="115">
        <f t="shared" si="1"/>
        <v>124926</v>
      </c>
      <c r="AX19" s="84"/>
      <c r="AY19" s="103"/>
      <c r="AZ19" s="105">
        <f t="shared" si="3"/>
        <v>41807</v>
      </c>
      <c r="BA19" s="117">
        <f t="shared" si="4"/>
        <v>124926</v>
      </c>
    </row>
    <row r="20" spans="1:53" s="78" customFormat="1" ht="14.25">
      <c r="A20" s="107" t="s">
        <v>45</v>
      </c>
      <c r="B20" s="112"/>
      <c r="C20" s="79"/>
      <c r="D20" s="113">
        <v>3413</v>
      </c>
      <c r="E20" s="82">
        <v>14374</v>
      </c>
      <c r="F20" s="114">
        <v>30269</v>
      </c>
      <c r="G20" s="86">
        <v>96949</v>
      </c>
      <c r="H20" s="114"/>
      <c r="I20" s="86"/>
      <c r="J20" s="114"/>
      <c r="K20" s="86"/>
      <c r="L20" s="114"/>
      <c r="M20" s="86"/>
      <c r="N20" s="114">
        <v>2391</v>
      </c>
      <c r="O20" s="616">
        <v>9303</v>
      </c>
      <c r="P20" s="113">
        <v>607</v>
      </c>
      <c r="Q20" s="82">
        <v>781</v>
      </c>
      <c r="R20" s="80"/>
      <c r="S20" s="82"/>
      <c r="T20" s="80"/>
      <c r="U20" s="82"/>
      <c r="V20" s="84">
        <v>96246</v>
      </c>
      <c r="W20" s="86">
        <v>303376</v>
      </c>
      <c r="X20" s="80">
        <v>120030</v>
      </c>
      <c r="Y20" s="82">
        <v>296992</v>
      </c>
      <c r="Z20" s="87"/>
      <c r="AA20" s="88"/>
      <c r="AB20" s="80"/>
      <c r="AC20" s="82"/>
      <c r="AD20" s="80"/>
      <c r="AE20" s="82"/>
      <c r="AF20" s="80"/>
      <c r="AG20" s="82"/>
      <c r="AH20" s="80">
        <v>33312</v>
      </c>
      <c r="AI20" s="82">
        <v>107599</v>
      </c>
      <c r="AJ20" s="80"/>
      <c r="AK20" s="82"/>
      <c r="AL20" s="620"/>
      <c r="AM20" s="83"/>
      <c r="AN20" s="183">
        <v>54380</v>
      </c>
      <c r="AO20" s="1019">
        <v>153675</v>
      </c>
      <c r="AP20" s="180"/>
      <c r="AQ20" s="101"/>
      <c r="AR20" s="102"/>
      <c r="AS20" s="103"/>
      <c r="AT20" s="84">
        <v>19675</v>
      </c>
      <c r="AU20" s="85">
        <v>58671</v>
      </c>
      <c r="AV20" s="105">
        <f t="shared" si="5"/>
        <v>360323</v>
      </c>
      <c r="AW20" s="115">
        <f t="shared" si="1"/>
        <v>1041720</v>
      </c>
      <c r="AX20" s="84"/>
      <c r="AY20" s="103"/>
      <c r="AZ20" s="105">
        <f t="shared" si="3"/>
        <v>360323</v>
      </c>
      <c r="BA20" s="117">
        <f t="shared" si="4"/>
        <v>1041720</v>
      </c>
    </row>
    <row r="21" spans="1:53" s="78" customFormat="1" ht="14.25">
      <c r="A21" s="107" t="s">
        <v>46</v>
      </c>
      <c r="B21" s="112"/>
      <c r="C21" s="79"/>
      <c r="D21" s="113"/>
      <c r="E21" s="82"/>
      <c r="F21" s="114"/>
      <c r="G21" s="86"/>
      <c r="H21" s="114"/>
      <c r="I21" s="86"/>
      <c r="J21" s="114"/>
      <c r="K21" s="86"/>
      <c r="L21" s="114"/>
      <c r="M21" s="86"/>
      <c r="N21" s="114">
        <v>2896</v>
      </c>
      <c r="O21" s="616">
        <v>4946</v>
      </c>
      <c r="P21" s="113"/>
      <c r="Q21" s="82"/>
      <c r="R21" s="80"/>
      <c r="S21" s="82"/>
      <c r="T21" s="80">
        <v>914</v>
      </c>
      <c r="U21" s="82">
        <v>4419</v>
      </c>
      <c r="V21" s="84"/>
      <c r="W21" s="86"/>
      <c r="X21" s="80"/>
      <c r="Y21" s="82"/>
      <c r="Z21" s="87">
        <v>990</v>
      </c>
      <c r="AA21" s="88">
        <v>1532</v>
      </c>
      <c r="AB21" s="80">
        <v>339</v>
      </c>
      <c r="AC21" s="82">
        <v>1877</v>
      </c>
      <c r="AD21" s="80"/>
      <c r="AE21" s="82"/>
      <c r="AF21" s="80"/>
      <c r="AG21" s="82"/>
      <c r="AH21" s="80"/>
      <c r="AI21" s="82"/>
      <c r="AJ21" s="80">
        <v>4766</v>
      </c>
      <c r="AK21" s="82">
        <v>10130</v>
      </c>
      <c r="AL21" s="620"/>
      <c r="AM21" s="83"/>
      <c r="AN21" s="183"/>
      <c r="AO21" s="1019"/>
      <c r="AP21" s="180"/>
      <c r="AQ21" s="101"/>
      <c r="AR21" s="102">
        <v>1502</v>
      </c>
      <c r="AS21" s="103">
        <v>4291</v>
      </c>
      <c r="AT21" s="84"/>
      <c r="AU21" s="85"/>
      <c r="AV21" s="105">
        <f t="shared" si="5"/>
        <v>11407</v>
      </c>
      <c r="AW21" s="115">
        <f t="shared" si="1"/>
        <v>27195</v>
      </c>
      <c r="AX21" s="84"/>
      <c r="AY21" s="103"/>
      <c r="AZ21" s="105">
        <f t="shared" si="3"/>
        <v>11407</v>
      </c>
      <c r="BA21" s="117">
        <f t="shared" si="4"/>
        <v>27195</v>
      </c>
    </row>
    <row r="22" spans="1:53" s="78" customFormat="1" ht="14.25">
      <c r="A22" s="107" t="s">
        <v>47</v>
      </c>
      <c r="B22" s="112"/>
      <c r="C22" s="79"/>
      <c r="D22" s="113"/>
      <c r="E22" s="82"/>
      <c r="F22" s="114"/>
      <c r="G22" s="86"/>
      <c r="H22" s="114">
        <v>43149</v>
      </c>
      <c r="I22" s="86">
        <v>120173</v>
      </c>
      <c r="J22" s="114"/>
      <c r="K22" s="86"/>
      <c r="L22" s="114"/>
      <c r="M22" s="86"/>
      <c r="N22" s="114">
        <v>6811</v>
      </c>
      <c r="O22" s="616">
        <v>12472</v>
      </c>
      <c r="P22" s="113"/>
      <c r="Q22" s="82"/>
      <c r="R22" s="80"/>
      <c r="S22" s="82"/>
      <c r="T22" s="80">
        <f>279603+494751+1588</f>
        <v>775942</v>
      </c>
      <c r="U22" s="82">
        <f>563647+610155+3561</f>
        <v>1177363</v>
      </c>
      <c r="V22" s="84"/>
      <c r="W22" s="86"/>
      <c r="X22" s="80"/>
      <c r="Y22" s="82"/>
      <c r="Z22" s="87"/>
      <c r="AA22" s="88"/>
      <c r="AB22" s="80"/>
      <c r="AC22" s="82"/>
      <c r="AD22" s="80">
        <v>12906</v>
      </c>
      <c r="AE22" s="82">
        <v>13683</v>
      </c>
      <c r="AF22" s="80">
        <v>75471</v>
      </c>
      <c r="AG22" s="82">
        <v>187882</v>
      </c>
      <c r="AH22" s="80"/>
      <c r="AI22" s="82"/>
      <c r="AJ22" s="80">
        <v>49125</v>
      </c>
      <c r="AK22" s="82">
        <v>178268</v>
      </c>
      <c r="AL22" s="620"/>
      <c r="AM22" s="83"/>
      <c r="AN22" s="183">
        <v>3039</v>
      </c>
      <c r="AO22" s="1019">
        <v>8620</v>
      </c>
      <c r="AP22" s="180">
        <v>6860</v>
      </c>
      <c r="AQ22" s="101">
        <v>16552</v>
      </c>
      <c r="AR22" s="102">
        <f>751+730+23524</f>
        <v>25005</v>
      </c>
      <c r="AS22" s="103">
        <f>1993+4049+26709</f>
        <v>32751</v>
      </c>
      <c r="AT22" s="84">
        <v>3557</v>
      </c>
      <c r="AU22" s="85">
        <v>3557</v>
      </c>
      <c r="AV22" s="105">
        <f t="shared" si="5"/>
        <v>1001865</v>
      </c>
      <c r="AW22" s="115">
        <f t="shared" si="1"/>
        <v>1751321</v>
      </c>
      <c r="AX22" s="84">
        <v>6728956</v>
      </c>
      <c r="AY22" s="103">
        <v>10966392</v>
      </c>
      <c r="AZ22" s="105">
        <f t="shared" si="3"/>
        <v>7730821</v>
      </c>
      <c r="BA22" s="117">
        <f t="shared" si="4"/>
        <v>12717713</v>
      </c>
    </row>
    <row r="23" spans="1:53" s="78" customFormat="1" ht="14.25">
      <c r="A23" s="107" t="s">
        <v>48</v>
      </c>
      <c r="B23" s="112"/>
      <c r="C23" s="79"/>
      <c r="D23" s="113"/>
      <c r="E23" s="82"/>
      <c r="F23" s="114"/>
      <c r="G23" s="86"/>
      <c r="H23" s="114"/>
      <c r="I23" s="86"/>
      <c r="J23" s="114"/>
      <c r="K23" s="86"/>
      <c r="L23" s="114"/>
      <c r="M23" s="86"/>
      <c r="N23" s="114"/>
      <c r="O23" s="616"/>
      <c r="P23" s="113"/>
      <c r="Q23" s="82"/>
      <c r="R23" s="80"/>
      <c r="S23" s="82"/>
      <c r="T23" s="80"/>
      <c r="U23" s="82"/>
      <c r="V23" s="84"/>
      <c r="W23" s="86"/>
      <c r="X23" s="80"/>
      <c r="Y23" s="82"/>
      <c r="Z23" s="87"/>
      <c r="AA23" s="88"/>
      <c r="AB23" s="80"/>
      <c r="AC23" s="82"/>
      <c r="AD23" s="80"/>
      <c r="AE23" s="82"/>
      <c r="AF23" s="80"/>
      <c r="AG23" s="82"/>
      <c r="AH23" s="80"/>
      <c r="AI23" s="82"/>
      <c r="AJ23" s="80"/>
      <c r="AK23" s="82"/>
      <c r="AL23" s="620"/>
      <c r="AM23" s="83"/>
      <c r="AN23" s="84"/>
      <c r="AO23" s="1019"/>
      <c r="AP23" s="180"/>
      <c r="AQ23" s="101"/>
      <c r="AR23" s="102"/>
      <c r="AS23" s="103"/>
      <c r="AT23" s="84"/>
      <c r="AU23" s="85"/>
      <c r="AV23" s="105"/>
      <c r="AW23" s="115">
        <f t="shared" si="1"/>
        <v>0</v>
      </c>
      <c r="AX23" s="84"/>
      <c r="AY23" s="103"/>
      <c r="AZ23" s="105"/>
      <c r="BA23" s="117"/>
    </row>
    <row r="24" spans="1:53" s="78" customFormat="1" ht="14.25">
      <c r="A24" s="107" t="s">
        <v>31</v>
      </c>
      <c r="B24" s="120">
        <v>-456242</v>
      </c>
      <c r="C24" s="79">
        <v>-1782640</v>
      </c>
      <c r="D24" s="121">
        <v>-71524</v>
      </c>
      <c r="E24" s="82">
        <v>-343403</v>
      </c>
      <c r="F24" s="115">
        <v>-127429</v>
      </c>
      <c r="G24" s="86">
        <v>-344076</v>
      </c>
      <c r="H24" s="115">
        <v>-116282</v>
      </c>
      <c r="I24" s="86">
        <v>-352615</v>
      </c>
      <c r="J24" s="115">
        <v>-42608</v>
      </c>
      <c r="K24" s="86">
        <v>-145462</v>
      </c>
      <c r="L24" s="115">
        <v>-130355</v>
      </c>
      <c r="M24" s="86">
        <v>-433425</v>
      </c>
      <c r="N24" s="115">
        <v>-421691</v>
      </c>
      <c r="O24" s="616">
        <v>-1174441</v>
      </c>
      <c r="P24" s="121">
        <v>-117903</v>
      </c>
      <c r="Q24" s="82">
        <v>-295814</v>
      </c>
      <c r="R24" s="91">
        <v>-164875</v>
      </c>
      <c r="S24" s="82">
        <v>-587795</v>
      </c>
      <c r="T24" s="91">
        <v>-104303</v>
      </c>
      <c r="U24" s="82">
        <v>-485249</v>
      </c>
      <c r="V24" s="105">
        <v>-887958</v>
      </c>
      <c r="W24" s="86">
        <v>-2371141</v>
      </c>
      <c r="X24" s="91">
        <v>-1304125</v>
      </c>
      <c r="Y24" s="82">
        <v>-3993952</v>
      </c>
      <c r="Z24" s="87">
        <v>-38638</v>
      </c>
      <c r="AA24" s="88">
        <v>-132329</v>
      </c>
      <c r="AB24" s="91">
        <v>-343062</v>
      </c>
      <c r="AC24" s="82">
        <v>-746460</v>
      </c>
      <c r="AD24" s="122">
        <v>-349261</v>
      </c>
      <c r="AE24" s="82">
        <v>-789403</v>
      </c>
      <c r="AF24" s="91">
        <v>-521509</v>
      </c>
      <c r="AG24" s="82">
        <v>-1478859</v>
      </c>
      <c r="AH24" s="91">
        <v>-160357</v>
      </c>
      <c r="AI24" s="82">
        <v>-699433</v>
      </c>
      <c r="AJ24" s="91">
        <v>-55873</v>
      </c>
      <c r="AK24" s="82">
        <v>-154881</v>
      </c>
      <c r="AL24" s="620"/>
      <c r="AM24" s="83"/>
      <c r="AN24" s="183">
        <v>-453790</v>
      </c>
      <c r="AO24" s="1019">
        <v>-1358655</v>
      </c>
      <c r="AP24" s="180"/>
      <c r="AQ24" s="101"/>
      <c r="AR24" s="102">
        <v>-128955</v>
      </c>
      <c r="AS24" s="103">
        <v>-356384</v>
      </c>
      <c r="AT24" s="105">
        <v>-403262</v>
      </c>
      <c r="AU24" s="85">
        <v>-1152243</v>
      </c>
      <c r="AV24" s="105">
        <f>SUM(B24+D24+F24+H24+J24+L24+N24+P24+R24+T24+V24+X24+Z24+AB24+AD24+AF24+AH24+AJ24+AL24+AN24+AP24+AR24+AT24)</f>
        <v>-6400002</v>
      </c>
      <c r="AW24" s="115">
        <f t="shared" si="1"/>
        <v>-19178660</v>
      </c>
      <c r="AX24" s="105">
        <v>-795737</v>
      </c>
      <c r="AY24" s="103">
        <v>-1075462</v>
      </c>
      <c r="AZ24" s="105">
        <f>AV24+AX24</f>
        <v>-7195739</v>
      </c>
      <c r="BA24" s="117">
        <f>AW24+AY24</f>
        <v>-20254122</v>
      </c>
    </row>
    <row r="25" spans="1:53" s="78" customFormat="1" ht="14.25">
      <c r="A25" s="107" t="s">
        <v>32</v>
      </c>
      <c r="B25" s="112"/>
      <c r="C25" s="79"/>
      <c r="D25" s="113"/>
      <c r="E25" s="82"/>
      <c r="F25" s="114"/>
      <c r="G25" s="86"/>
      <c r="H25" s="114"/>
      <c r="I25" s="86"/>
      <c r="J25" s="114"/>
      <c r="K25" s="86"/>
      <c r="L25" s="114"/>
      <c r="M25" s="86"/>
      <c r="N25" s="114"/>
      <c r="O25" s="616"/>
      <c r="P25" s="113"/>
      <c r="Q25" s="82"/>
      <c r="R25" s="80"/>
      <c r="S25" s="82"/>
      <c r="T25" s="80"/>
      <c r="U25" s="82"/>
      <c r="V25" s="84"/>
      <c r="W25" s="86"/>
      <c r="X25" s="80"/>
      <c r="Y25" s="82"/>
      <c r="Z25" s="87"/>
      <c r="AA25" s="88"/>
      <c r="AB25" s="80"/>
      <c r="AC25" s="82"/>
      <c r="AD25" s="80"/>
      <c r="AE25" s="82"/>
      <c r="AF25" s="80"/>
      <c r="AG25" s="82"/>
      <c r="AH25" s="80"/>
      <c r="AI25" s="82"/>
      <c r="AJ25" s="80"/>
      <c r="AK25" s="82"/>
      <c r="AL25" s="620"/>
      <c r="AM25" s="83"/>
      <c r="AN25" s="84"/>
      <c r="AO25" s="1019"/>
      <c r="AP25" s="180"/>
      <c r="AQ25" s="101"/>
      <c r="AR25" s="102"/>
      <c r="AS25" s="103"/>
      <c r="AT25" s="84"/>
      <c r="AU25" s="85"/>
      <c r="AV25" s="105"/>
      <c r="AW25" s="115">
        <f t="shared" si="1"/>
        <v>0</v>
      </c>
      <c r="AX25" s="102"/>
      <c r="AY25" s="103"/>
      <c r="AZ25" s="105"/>
      <c r="BA25" s="117"/>
    </row>
    <row r="26" spans="1:53" s="78" customFormat="1" ht="14.25">
      <c r="A26" s="107" t="s">
        <v>49</v>
      </c>
      <c r="B26" s="112"/>
      <c r="C26" s="79"/>
      <c r="D26" s="113"/>
      <c r="E26" s="82"/>
      <c r="F26" s="114"/>
      <c r="G26" s="86"/>
      <c r="H26" s="114"/>
      <c r="I26" s="86"/>
      <c r="J26" s="114"/>
      <c r="K26" s="86"/>
      <c r="L26" s="114"/>
      <c r="M26" s="86"/>
      <c r="N26" s="114"/>
      <c r="O26" s="616"/>
      <c r="P26" s="113"/>
      <c r="Q26" s="82"/>
      <c r="R26" s="80"/>
      <c r="S26" s="82"/>
      <c r="T26" s="80"/>
      <c r="U26" s="82"/>
      <c r="V26" s="84"/>
      <c r="W26" s="86"/>
      <c r="X26" s="80"/>
      <c r="Y26" s="82"/>
      <c r="Z26" s="87"/>
      <c r="AA26" s="88"/>
      <c r="AB26" s="80"/>
      <c r="AC26" s="82"/>
      <c r="AD26" s="80"/>
      <c r="AE26" s="82"/>
      <c r="AF26" s="80"/>
      <c r="AG26" s="82"/>
      <c r="AH26" s="80"/>
      <c r="AI26" s="82"/>
      <c r="AJ26" s="80"/>
      <c r="AK26" s="82"/>
      <c r="AL26" s="620"/>
      <c r="AM26" s="83"/>
      <c r="AN26" s="84"/>
      <c r="AO26" s="1019"/>
      <c r="AP26" s="180"/>
      <c r="AQ26" s="101"/>
      <c r="AR26" s="102"/>
      <c r="AS26" s="103"/>
      <c r="AT26" s="84"/>
      <c r="AU26" s="85"/>
      <c r="AV26" s="105"/>
      <c r="AW26" s="115">
        <f t="shared" si="1"/>
        <v>0</v>
      </c>
      <c r="AX26" s="102"/>
      <c r="AY26" s="103"/>
      <c r="AZ26" s="105"/>
      <c r="BA26" s="117"/>
    </row>
    <row r="27" spans="1:53" s="78" customFormat="1" ht="14.25">
      <c r="A27" s="107" t="s">
        <v>50</v>
      </c>
      <c r="B27" s="112">
        <v>-19970</v>
      </c>
      <c r="C27" s="79">
        <v>-22599</v>
      </c>
      <c r="D27" s="113">
        <v>-675</v>
      </c>
      <c r="E27" s="82">
        <v>-2546</v>
      </c>
      <c r="F27" s="114"/>
      <c r="G27" s="86"/>
      <c r="H27" s="114"/>
      <c r="I27" s="86"/>
      <c r="J27" s="114">
        <v>-2702</v>
      </c>
      <c r="K27" s="86">
        <v>-7030</v>
      </c>
      <c r="L27" s="114"/>
      <c r="M27" s="86"/>
      <c r="N27" s="114"/>
      <c r="O27" s="616">
        <v>-708</v>
      </c>
      <c r="P27" s="113">
        <v>-5778</v>
      </c>
      <c r="Q27" s="82">
        <v>-13562</v>
      </c>
      <c r="R27" s="80"/>
      <c r="S27" s="82"/>
      <c r="T27" s="80">
        <v>-5879</v>
      </c>
      <c r="U27" s="82">
        <v>-7111</v>
      </c>
      <c r="V27" s="84">
        <v>-310513</v>
      </c>
      <c r="W27" s="86">
        <v>-428233</v>
      </c>
      <c r="X27" s="80">
        <v>-86441</v>
      </c>
      <c r="Y27" s="82">
        <v>-320256</v>
      </c>
      <c r="Z27" s="87">
        <v>-121</v>
      </c>
      <c r="AA27" s="88">
        <v>-130</v>
      </c>
      <c r="AB27" s="80">
        <v>-1600</v>
      </c>
      <c r="AC27" s="82">
        <v>-5241</v>
      </c>
      <c r="AD27" s="80"/>
      <c r="AE27" s="82"/>
      <c r="AF27" s="80"/>
      <c r="AG27" s="82"/>
      <c r="AH27" s="80">
        <v>-9082</v>
      </c>
      <c r="AI27" s="82">
        <v>-17665</v>
      </c>
      <c r="AJ27" s="80">
        <v>34</v>
      </c>
      <c r="AK27" s="82">
        <v>-629</v>
      </c>
      <c r="AL27" s="620"/>
      <c r="AM27" s="83"/>
      <c r="AN27" s="183">
        <v>-400</v>
      </c>
      <c r="AO27" s="1019">
        <v>-826</v>
      </c>
      <c r="AP27" s="180"/>
      <c r="AQ27" s="101"/>
      <c r="AR27" s="102">
        <v>-7001</v>
      </c>
      <c r="AS27" s="103">
        <v>-20199</v>
      </c>
      <c r="AT27" s="84"/>
      <c r="AU27" s="85"/>
      <c r="AV27" s="105">
        <f>SUM(B27+D27+F27+H27+J27+L27+N27+P27+R27+T27+V27+X27+Z27+AB27+AD27+AF27+AH27+AJ27+AL27+AN27+AP27+AR27+AT27)</f>
        <v>-450128</v>
      </c>
      <c r="AW27" s="115">
        <f t="shared" si="1"/>
        <v>-846735</v>
      </c>
      <c r="AX27" s="102">
        <v>-86136</v>
      </c>
      <c r="AY27" s="103">
        <v>-186351</v>
      </c>
      <c r="AZ27" s="105">
        <f>AV27+AX27</f>
        <v>-536264</v>
      </c>
      <c r="BA27" s="117">
        <f>AW27+AY27</f>
        <v>-1033086</v>
      </c>
    </row>
    <row r="28" spans="1:53" s="78" customFormat="1" ht="14.25">
      <c r="A28" s="107" t="s">
        <v>51</v>
      </c>
      <c r="B28" s="112"/>
      <c r="C28" s="79"/>
      <c r="D28" s="113">
        <v>-5000</v>
      </c>
      <c r="E28" s="82">
        <v>-27135</v>
      </c>
      <c r="F28" s="114"/>
      <c r="G28" s="86"/>
      <c r="H28" s="114">
        <v>-2814</v>
      </c>
      <c r="I28" s="86">
        <v>-9738</v>
      </c>
      <c r="J28" s="114"/>
      <c r="K28" s="86"/>
      <c r="L28" s="114"/>
      <c r="M28" s="86"/>
      <c r="N28" s="114"/>
      <c r="O28" s="616"/>
      <c r="P28" s="113"/>
      <c r="Q28" s="82"/>
      <c r="R28" s="80"/>
      <c r="S28" s="82"/>
      <c r="T28" s="80"/>
      <c r="U28" s="82"/>
      <c r="V28" s="84"/>
      <c r="W28" s="86"/>
      <c r="X28" s="80"/>
      <c r="Y28" s="82"/>
      <c r="Z28" s="87"/>
      <c r="AA28" s="88"/>
      <c r="AB28" s="80"/>
      <c r="AC28" s="82"/>
      <c r="AD28" s="80">
        <v>-2540</v>
      </c>
      <c r="AE28" s="82">
        <v>-3521</v>
      </c>
      <c r="AF28" s="80">
        <v>-32429</v>
      </c>
      <c r="AG28" s="82">
        <v>-64039</v>
      </c>
      <c r="AH28" s="80"/>
      <c r="AI28" s="82"/>
      <c r="AJ28" s="80"/>
      <c r="AK28" s="82"/>
      <c r="AL28" s="620"/>
      <c r="AM28" s="83"/>
      <c r="AN28" s="183"/>
      <c r="AO28" s="1019"/>
      <c r="AP28" s="180"/>
      <c r="AQ28" s="101"/>
      <c r="AR28" s="102"/>
      <c r="AS28" s="103"/>
      <c r="AT28" s="84"/>
      <c r="AU28" s="85"/>
      <c r="AV28" s="105">
        <f>SUM(B28+D28+F28+H28+J28+L28+N28+P28+R28+T28+V28+X28+Z28+AB28+AD28+AF28+AH28+AJ28+AL28+AN28+AP28+AR28+AT28)</f>
        <v>-42783</v>
      </c>
      <c r="AW28" s="115">
        <f t="shared" si="1"/>
        <v>-104433</v>
      </c>
      <c r="AX28" s="102"/>
      <c r="AY28" s="103"/>
      <c r="AZ28" s="105">
        <f>AV28+AX28</f>
        <v>-42783</v>
      </c>
      <c r="BA28" s="117">
        <f>AW28+AY28</f>
        <v>-104433</v>
      </c>
    </row>
    <row r="29" spans="1:53" s="78" customFormat="1" ht="14.25">
      <c r="A29" s="107" t="s">
        <v>52</v>
      </c>
      <c r="B29" s="120"/>
      <c r="C29" s="79"/>
      <c r="D29" s="121"/>
      <c r="E29" s="82"/>
      <c r="F29" s="115"/>
      <c r="G29" s="86"/>
      <c r="H29" s="115"/>
      <c r="I29" s="86"/>
      <c r="J29" s="115"/>
      <c r="K29" s="86"/>
      <c r="L29" s="115"/>
      <c r="M29" s="86"/>
      <c r="N29" s="115"/>
      <c r="O29" s="616"/>
      <c r="P29" s="121"/>
      <c r="Q29" s="82"/>
      <c r="R29" s="91"/>
      <c r="S29" s="82"/>
      <c r="T29" s="91"/>
      <c r="U29" s="82"/>
      <c r="V29" s="105"/>
      <c r="W29" s="86"/>
      <c r="X29" s="91"/>
      <c r="Y29" s="82"/>
      <c r="Z29" s="87"/>
      <c r="AA29" s="88"/>
      <c r="AB29" s="91"/>
      <c r="AC29" s="82"/>
      <c r="AD29" s="122"/>
      <c r="AE29" s="82"/>
      <c r="AF29" s="91"/>
      <c r="AG29" s="82"/>
      <c r="AH29" s="91"/>
      <c r="AI29" s="82"/>
      <c r="AJ29" s="91"/>
      <c r="AK29" s="82"/>
      <c r="AL29" s="620"/>
      <c r="AM29" s="83"/>
      <c r="AN29" s="84"/>
      <c r="AO29" s="86"/>
      <c r="AP29" s="180"/>
      <c r="AQ29" s="101"/>
      <c r="AR29" s="102"/>
      <c r="AS29" s="103"/>
      <c r="AT29" s="105"/>
      <c r="AU29" s="109"/>
      <c r="AV29" s="105"/>
      <c r="AW29" s="115">
        <f t="shared" si="1"/>
        <v>0</v>
      </c>
      <c r="AX29" s="105"/>
      <c r="AY29" s="109"/>
      <c r="AZ29" s="105"/>
      <c r="BA29" s="117"/>
    </row>
    <row r="30" spans="1:53" s="78" customFormat="1" ht="14.25">
      <c r="A30" s="107" t="s">
        <v>31</v>
      </c>
      <c r="B30" s="112"/>
      <c r="C30" s="79"/>
      <c r="D30" s="113"/>
      <c r="E30" s="82"/>
      <c r="F30" s="114"/>
      <c r="G30" s="86"/>
      <c r="H30" s="114"/>
      <c r="I30" s="86"/>
      <c r="J30" s="114"/>
      <c r="K30" s="86"/>
      <c r="L30" s="114"/>
      <c r="M30" s="86"/>
      <c r="N30" s="114"/>
      <c r="O30" s="616"/>
      <c r="P30" s="113"/>
      <c r="Q30" s="82"/>
      <c r="R30" s="80"/>
      <c r="S30" s="82"/>
      <c r="T30" s="80"/>
      <c r="U30" s="82"/>
      <c r="V30" s="84"/>
      <c r="W30" s="86"/>
      <c r="X30" s="80"/>
      <c r="Y30" s="82"/>
      <c r="Z30" s="87"/>
      <c r="AA30" s="88"/>
      <c r="AB30" s="80"/>
      <c r="AC30" s="82"/>
      <c r="AD30" s="80"/>
      <c r="AE30" s="82"/>
      <c r="AF30" s="80"/>
      <c r="AG30" s="82"/>
      <c r="AH30" s="80"/>
      <c r="AI30" s="82"/>
      <c r="AJ30" s="80"/>
      <c r="AK30" s="82"/>
      <c r="AL30" s="620"/>
      <c r="AM30" s="83"/>
      <c r="AN30" s="84"/>
      <c r="AO30" s="86"/>
      <c r="AP30" s="180"/>
      <c r="AQ30" s="101"/>
      <c r="AR30" s="102"/>
      <c r="AS30" s="103"/>
      <c r="AT30" s="84"/>
      <c r="AU30" s="85"/>
      <c r="AV30" s="105">
        <f>SUM(B30+D30+F30+H30+J30+L30+N30+P30+R30+T30+V30+X30+Z30+AB30+AD30+AF30+AH30+AJ30+AL30+AN30+AP30+AR30+AT30)</f>
        <v>0</v>
      </c>
      <c r="AW30" s="115">
        <f t="shared" si="1"/>
        <v>0</v>
      </c>
      <c r="AX30" s="102"/>
      <c r="AY30" s="103"/>
      <c r="AZ30" s="105">
        <f>AV30+AX30</f>
        <v>0</v>
      </c>
      <c r="BA30" s="117">
        <f>AW30+AY30</f>
        <v>0</v>
      </c>
    </row>
    <row r="31" spans="1:53" s="78" customFormat="1" ht="14.25">
      <c r="A31" s="107" t="s">
        <v>32</v>
      </c>
      <c r="B31" s="112"/>
      <c r="C31" s="79"/>
      <c r="D31" s="113"/>
      <c r="E31" s="82"/>
      <c r="F31" s="114"/>
      <c r="G31" s="86"/>
      <c r="H31" s="114"/>
      <c r="I31" s="86"/>
      <c r="J31" s="114"/>
      <c r="K31" s="86"/>
      <c r="L31" s="114"/>
      <c r="M31" s="86"/>
      <c r="N31" s="114"/>
      <c r="O31" s="616"/>
      <c r="P31" s="113"/>
      <c r="Q31" s="82"/>
      <c r="R31" s="80"/>
      <c r="S31" s="82"/>
      <c r="T31" s="80"/>
      <c r="U31" s="82"/>
      <c r="V31" s="84"/>
      <c r="W31" s="86"/>
      <c r="X31" s="80"/>
      <c r="Y31" s="82"/>
      <c r="Z31" s="87"/>
      <c r="AA31" s="88"/>
      <c r="AB31" s="80"/>
      <c r="AC31" s="82"/>
      <c r="AD31" s="80"/>
      <c r="AE31" s="82"/>
      <c r="AF31" s="80"/>
      <c r="AG31" s="82"/>
      <c r="AH31" s="80"/>
      <c r="AI31" s="82"/>
      <c r="AJ31" s="80"/>
      <c r="AK31" s="82"/>
      <c r="AL31" s="620"/>
      <c r="AM31" s="83"/>
      <c r="AN31" s="84"/>
      <c r="AO31" s="86"/>
      <c r="AP31" s="180"/>
      <c r="AQ31" s="101"/>
      <c r="AR31" s="102"/>
      <c r="AS31" s="103"/>
      <c r="AT31" s="84"/>
      <c r="AU31" s="85"/>
      <c r="AV31" s="105"/>
      <c r="AW31" s="115">
        <f t="shared" si="1"/>
        <v>0</v>
      </c>
      <c r="AX31" s="102"/>
      <c r="AY31" s="103"/>
      <c r="AZ31" s="105"/>
      <c r="BA31" s="117"/>
    </row>
    <row r="32" spans="1:53" s="78" customFormat="1" ht="14.25">
      <c r="A32" s="107" t="s">
        <v>49</v>
      </c>
      <c r="B32" s="112"/>
      <c r="C32" s="79"/>
      <c r="D32" s="113"/>
      <c r="E32" s="82"/>
      <c r="F32" s="114"/>
      <c r="G32" s="86"/>
      <c r="H32" s="114"/>
      <c r="I32" s="86"/>
      <c r="J32" s="114"/>
      <c r="K32" s="86"/>
      <c r="L32" s="114"/>
      <c r="M32" s="86"/>
      <c r="N32" s="114"/>
      <c r="O32" s="616"/>
      <c r="P32" s="113"/>
      <c r="Q32" s="82"/>
      <c r="R32" s="80"/>
      <c r="S32" s="82"/>
      <c r="T32" s="80"/>
      <c r="U32" s="82"/>
      <c r="V32" s="84"/>
      <c r="W32" s="86"/>
      <c r="X32" s="80"/>
      <c r="Y32" s="82"/>
      <c r="Z32" s="87"/>
      <c r="AA32" s="88"/>
      <c r="AB32" s="80"/>
      <c r="AC32" s="82"/>
      <c r="AD32" s="80"/>
      <c r="AE32" s="82"/>
      <c r="AF32" s="80"/>
      <c r="AG32" s="82"/>
      <c r="AH32" s="80"/>
      <c r="AI32" s="82"/>
      <c r="AJ32" s="80"/>
      <c r="AK32" s="82"/>
      <c r="AL32" s="620"/>
      <c r="AM32" s="83"/>
      <c r="AN32" s="84"/>
      <c r="AO32" s="86"/>
      <c r="AP32" s="180"/>
      <c r="AQ32" s="101"/>
      <c r="AR32" s="102"/>
      <c r="AS32" s="103"/>
      <c r="AT32" s="84"/>
      <c r="AU32" s="85"/>
      <c r="AV32" s="105"/>
      <c r="AW32" s="115"/>
      <c r="AX32" s="102"/>
      <c r="AY32" s="103"/>
      <c r="AZ32" s="105"/>
      <c r="BA32" s="117"/>
    </row>
    <row r="33" spans="1:53" s="78" customFormat="1" ht="15" thickBot="1">
      <c r="A33" s="147" t="s">
        <v>53</v>
      </c>
      <c r="B33" s="123"/>
      <c r="C33" s="1136"/>
      <c r="D33" s="124"/>
      <c r="E33" s="1130"/>
      <c r="F33" s="125"/>
      <c r="G33" s="1129"/>
      <c r="H33" s="125">
        <v>80</v>
      </c>
      <c r="I33" s="1129">
        <v>-1347</v>
      </c>
      <c r="J33" s="125"/>
      <c r="K33" s="1129"/>
      <c r="L33" s="125"/>
      <c r="M33" s="1129"/>
      <c r="N33" s="125"/>
      <c r="O33" s="1134"/>
      <c r="P33" s="124"/>
      <c r="Q33" s="1130"/>
      <c r="R33" s="127"/>
      <c r="S33" s="1130"/>
      <c r="T33" s="127"/>
      <c r="U33" s="1130"/>
      <c r="V33" s="128"/>
      <c r="W33" s="1129"/>
      <c r="X33" s="127"/>
      <c r="Y33" s="1130"/>
      <c r="Z33" s="129"/>
      <c r="AA33" s="1133"/>
      <c r="AB33" s="127"/>
      <c r="AC33" s="1130"/>
      <c r="AD33" s="127"/>
      <c r="AE33" s="1130"/>
      <c r="AF33" s="127"/>
      <c r="AG33" s="1130"/>
      <c r="AH33" s="127"/>
      <c r="AI33" s="1130"/>
      <c r="AJ33" s="127"/>
      <c r="AK33" s="1130"/>
      <c r="AL33" s="816"/>
      <c r="AM33" s="1132"/>
      <c r="AN33" s="128"/>
      <c r="AO33" s="1129"/>
      <c r="AP33" s="181"/>
      <c r="AQ33" s="130"/>
      <c r="AR33" s="131"/>
      <c r="AS33" s="132"/>
      <c r="AT33" s="128"/>
      <c r="AU33" s="126"/>
      <c r="AV33" s="133"/>
      <c r="AW33" s="134"/>
      <c r="AX33" s="131">
        <v>-4831</v>
      </c>
      <c r="AY33" s="132">
        <v>-4831</v>
      </c>
      <c r="AZ33" s="133"/>
      <c r="BA33" s="1125"/>
    </row>
    <row r="34" spans="1:53" s="425" customFormat="1" ht="15" thickBot="1">
      <c r="A34" s="424" t="s">
        <v>54</v>
      </c>
      <c r="B34" s="1012">
        <f>SUM(B6:B33)</f>
        <v>14281188</v>
      </c>
      <c r="C34" s="1128">
        <f aca="true" t="shared" si="6" ref="C34:AH34">SUM(C6:C33)</f>
        <v>41705302</v>
      </c>
      <c r="D34" s="1014">
        <f t="shared" si="6"/>
        <v>685172</v>
      </c>
      <c r="E34" s="1128">
        <f t="shared" si="6"/>
        <v>1927030</v>
      </c>
      <c r="F34" s="1014">
        <f t="shared" si="6"/>
        <v>2803972</v>
      </c>
      <c r="G34" s="1128">
        <f t="shared" si="6"/>
        <v>7615075</v>
      </c>
      <c r="H34" s="1014">
        <f t="shared" si="6"/>
        <v>16973367</v>
      </c>
      <c r="I34" s="1128">
        <f t="shared" si="6"/>
        <v>44378886</v>
      </c>
      <c r="J34" s="1014">
        <f t="shared" si="6"/>
        <v>1051086</v>
      </c>
      <c r="K34" s="1128">
        <f t="shared" si="6"/>
        <v>2797618</v>
      </c>
      <c r="L34" s="1014">
        <f t="shared" si="6"/>
        <v>4531648</v>
      </c>
      <c r="M34" s="1128">
        <f t="shared" si="6"/>
        <v>13168585</v>
      </c>
      <c r="N34" s="1014">
        <f t="shared" si="6"/>
        <v>1076094</v>
      </c>
      <c r="O34" s="1128">
        <f t="shared" si="6"/>
        <v>2861160</v>
      </c>
      <c r="P34" s="1014">
        <f t="shared" si="6"/>
        <v>221684</v>
      </c>
      <c r="Q34" s="1128">
        <f t="shared" si="6"/>
        <v>570455</v>
      </c>
      <c r="R34" s="1014">
        <f t="shared" si="6"/>
        <v>3480645</v>
      </c>
      <c r="S34" s="1128">
        <f t="shared" si="6"/>
        <v>9519702</v>
      </c>
      <c r="T34" s="1014">
        <f t="shared" si="6"/>
        <v>1570574</v>
      </c>
      <c r="U34" s="1128">
        <f t="shared" si="6"/>
        <v>3486825</v>
      </c>
      <c r="V34" s="1014">
        <f t="shared" si="6"/>
        <v>55662930</v>
      </c>
      <c r="W34" s="1128">
        <f t="shared" si="6"/>
        <v>130892837</v>
      </c>
      <c r="X34" s="1014">
        <f t="shared" si="6"/>
        <v>53730231</v>
      </c>
      <c r="Y34" s="1128">
        <f t="shared" si="6"/>
        <v>131202232</v>
      </c>
      <c r="Z34" s="1014">
        <f t="shared" si="6"/>
        <v>1502318</v>
      </c>
      <c r="AA34" s="1128">
        <f>SUM(AA6:AA33)</f>
        <v>3921608</v>
      </c>
      <c r="AB34" s="1014">
        <f t="shared" si="6"/>
        <v>8022340</v>
      </c>
      <c r="AC34" s="1128">
        <f t="shared" si="6"/>
        <v>24883779</v>
      </c>
      <c r="AD34" s="1014">
        <f t="shared" si="6"/>
        <v>11004887</v>
      </c>
      <c r="AE34" s="1128">
        <f t="shared" si="6"/>
        <v>24513947</v>
      </c>
      <c r="AF34" s="1014">
        <f t="shared" si="6"/>
        <v>17356985</v>
      </c>
      <c r="AG34" s="1128">
        <f t="shared" si="6"/>
        <v>49414445</v>
      </c>
      <c r="AH34" s="1014">
        <f t="shared" si="6"/>
        <v>5919557</v>
      </c>
      <c r="AI34" s="1128">
        <f aca="true" t="shared" si="7" ref="AI34:AS34">SUM(AI6:AI33)</f>
        <v>16361588</v>
      </c>
      <c r="AJ34" s="1014">
        <f t="shared" si="7"/>
        <v>6815494</v>
      </c>
      <c r="AK34" s="1131">
        <f t="shared" si="7"/>
        <v>19969287</v>
      </c>
      <c r="AL34" s="1012">
        <f t="shared" si="7"/>
        <v>0</v>
      </c>
      <c r="AM34" s="1128">
        <f t="shared" si="7"/>
        <v>0</v>
      </c>
      <c r="AN34" s="1014">
        <f t="shared" si="7"/>
        <v>61516716</v>
      </c>
      <c r="AO34" s="1128">
        <f t="shared" si="7"/>
        <v>122469697</v>
      </c>
      <c r="AP34" s="1014">
        <f t="shared" si="7"/>
        <v>1252794</v>
      </c>
      <c r="AQ34" s="1128">
        <f t="shared" si="7"/>
        <v>3740801</v>
      </c>
      <c r="AR34" s="1014">
        <f t="shared" si="7"/>
        <v>2952887</v>
      </c>
      <c r="AS34" s="1128">
        <f t="shared" si="7"/>
        <v>6948337</v>
      </c>
      <c r="AT34" s="1014">
        <f>SUM(AT6:AT33)</f>
        <v>5878412</v>
      </c>
      <c r="AU34" s="1128">
        <f>SUM(AU6:AU33)</f>
        <v>16601010</v>
      </c>
      <c r="AV34" s="418">
        <f>SUM(B34+D34+F34+H34+J34+L34+N34+P34+R34+T34+V34+X34+Z34+AB34+AD34+AF34+AH34+AJ34+AL34+AN34+AP34+AR34+AT34)</f>
        <v>278290981</v>
      </c>
      <c r="AW34" s="418">
        <f>SUM(C34+E34+G34+I34+K34+M34+O34+Q34+S34+U34+W34+Y34+AA34+AC34+AE34+AG34+AI34+AK34+AM34+AO34+AQ34+AS34+AU34)</f>
        <v>678950206</v>
      </c>
      <c r="AX34" s="417">
        <f>SUM(AX6:AX33)</f>
        <v>625580535</v>
      </c>
      <c r="AY34" s="1016">
        <f>SUM(AY6:AY33)</f>
        <v>1658730586</v>
      </c>
      <c r="AZ34" s="417">
        <f>AV34+AX34</f>
        <v>903871516</v>
      </c>
      <c r="BA34" s="1015">
        <f>AW34+AY34</f>
        <v>2337680792</v>
      </c>
    </row>
    <row r="35" spans="1:53" s="78" customFormat="1" ht="15" thickBot="1">
      <c r="A35" s="1138" t="s">
        <v>55</v>
      </c>
      <c r="B35" s="1137"/>
      <c r="C35" s="1135"/>
      <c r="D35" s="817"/>
      <c r="E35" s="1135"/>
      <c r="F35" s="447"/>
      <c r="G35" s="446"/>
      <c r="H35" s="139"/>
      <c r="I35" s="138"/>
      <c r="J35" s="447"/>
      <c r="K35" s="446"/>
      <c r="L35" s="139"/>
      <c r="M35" s="138"/>
      <c r="N35" s="139"/>
      <c r="O35" s="138"/>
      <c r="P35" s="136"/>
      <c r="Q35" s="137"/>
      <c r="R35" s="135"/>
      <c r="S35" s="137"/>
      <c r="T35" s="135"/>
      <c r="U35" s="137"/>
      <c r="V35" s="140"/>
      <c r="W35" s="138"/>
      <c r="X35" s="135"/>
      <c r="Y35" s="137"/>
      <c r="Z35" s="135"/>
      <c r="AA35" s="137"/>
      <c r="AB35" s="135"/>
      <c r="AC35" s="137"/>
      <c r="AD35" s="135"/>
      <c r="AE35" s="137"/>
      <c r="AF35" s="135"/>
      <c r="AG35" s="137"/>
      <c r="AH35" s="135"/>
      <c r="AI35" s="137"/>
      <c r="AJ35" s="135"/>
      <c r="AK35" s="137"/>
      <c r="AL35" s="817"/>
      <c r="AM35" s="184"/>
      <c r="AN35" s="139"/>
      <c r="AO35" s="139"/>
      <c r="AP35" s="139"/>
      <c r="AQ35" s="139"/>
      <c r="AR35" s="140"/>
      <c r="AS35" s="139"/>
      <c r="AT35" s="140"/>
      <c r="AU35" s="139"/>
      <c r="AV35" s="141"/>
      <c r="AW35" s="142"/>
      <c r="AX35" s="1013"/>
      <c r="AY35" s="446"/>
      <c r="AZ35" s="141"/>
      <c r="BA35" s="1126"/>
    </row>
    <row r="36" spans="1:53" s="78" customFormat="1" ht="15" thickBot="1">
      <c r="A36" s="1138" t="s">
        <v>56</v>
      </c>
      <c r="B36" s="451">
        <f>B34</f>
        <v>14281188</v>
      </c>
      <c r="C36" s="457">
        <f aca="true" t="shared" si="8" ref="C36:AH36">C34</f>
        <v>41705302</v>
      </c>
      <c r="D36" s="454">
        <f t="shared" si="8"/>
        <v>685172</v>
      </c>
      <c r="E36" s="457">
        <f t="shared" si="8"/>
        <v>1927030</v>
      </c>
      <c r="F36" s="448">
        <f t="shared" si="8"/>
        <v>2803972</v>
      </c>
      <c r="G36" s="442">
        <f t="shared" si="8"/>
        <v>7615075</v>
      </c>
      <c r="H36" s="139">
        <f t="shared" si="8"/>
        <v>16973367</v>
      </c>
      <c r="I36" s="138">
        <f t="shared" si="8"/>
        <v>44378886</v>
      </c>
      <c r="J36" s="448">
        <f t="shared" si="8"/>
        <v>1051086</v>
      </c>
      <c r="K36" s="442">
        <f t="shared" si="8"/>
        <v>2797618</v>
      </c>
      <c r="L36" s="139">
        <f t="shared" si="8"/>
        <v>4531648</v>
      </c>
      <c r="M36" s="138">
        <f t="shared" si="8"/>
        <v>13168585</v>
      </c>
      <c r="N36" s="139">
        <f t="shared" si="8"/>
        <v>1076094</v>
      </c>
      <c r="O36" s="138">
        <f t="shared" si="8"/>
        <v>2861160</v>
      </c>
      <c r="P36" s="139">
        <f t="shared" si="8"/>
        <v>221684</v>
      </c>
      <c r="Q36" s="138">
        <f t="shared" si="8"/>
        <v>570455</v>
      </c>
      <c r="R36" s="140">
        <f t="shared" si="8"/>
        <v>3480645</v>
      </c>
      <c r="S36" s="138">
        <f t="shared" si="8"/>
        <v>9519702</v>
      </c>
      <c r="T36" s="140">
        <f t="shared" si="8"/>
        <v>1570574</v>
      </c>
      <c r="U36" s="138">
        <f t="shared" si="8"/>
        <v>3486825</v>
      </c>
      <c r="V36" s="140">
        <f t="shared" si="8"/>
        <v>55662930</v>
      </c>
      <c r="W36" s="815">
        <f t="shared" si="8"/>
        <v>130892837</v>
      </c>
      <c r="X36" s="140">
        <v>55120797</v>
      </c>
      <c r="Y36" s="815">
        <v>135516440</v>
      </c>
      <c r="Z36" s="140">
        <f t="shared" si="8"/>
        <v>1502318</v>
      </c>
      <c r="AA36" s="138">
        <f t="shared" si="8"/>
        <v>3921608</v>
      </c>
      <c r="AB36" s="140">
        <f t="shared" si="8"/>
        <v>8022340</v>
      </c>
      <c r="AC36" s="138">
        <f t="shared" si="8"/>
        <v>24883779</v>
      </c>
      <c r="AD36" s="140">
        <f t="shared" si="8"/>
        <v>11004887</v>
      </c>
      <c r="AE36" s="138">
        <f t="shared" si="8"/>
        <v>24513947</v>
      </c>
      <c r="AF36" s="140">
        <f t="shared" si="8"/>
        <v>17356985</v>
      </c>
      <c r="AG36" s="138">
        <f t="shared" si="8"/>
        <v>49414445</v>
      </c>
      <c r="AH36" s="140">
        <f t="shared" si="8"/>
        <v>5919557</v>
      </c>
      <c r="AI36" s="138">
        <f aca="true" t="shared" si="9" ref="AI36:AN36">AI34</f>
        <v>16361588</v>
      </c>
      <c r="AJ36" s="140">
        <f t="shared" si="9"/>
        <v>6815494</v>
      </c>
      <c r="AK36" s="97">
        <f t="shared" si="9"/>
        <v>19969287</v>
      </c>
      <c r="AL36" s="818">
        <f t="shared" si="9"/>
        <v>0</v>
      </c>
      <c r="AM36" s="659">
        <f t="shared" si="9"/>
        <v>0</v>
      </c>
      <c r="AN36" s="139">
        <f t="shared" si="9"/>
        <v>61516716</v>
      </c>
      <c r="AO36" s="139">
        <f aca="true" t="shared" si="10" ref="AO36:AU36">AO34</f>
        <v>122469697</v>
      </c>
      <c r="AP36" s="139">
        <f t="shared" si="10"/>
        <v>1252794</v>
      </c>
      <c r="AQ36" s="139">
        <f t="shared" si="10"/>
        <v>3740801</v>
      </c>
      <c r="AR36" s="140">
        <f t="shared" si="10"/>
        <v>2952887</v>
      </c>
      <c r="AS36" s="139">
        <f t="shared" si="10"/>
        <v>6948337</v>
      </c>
      <c r="AT36" s="140">
        <f t="shared" si="10"/>
        <v>5878412</v>
      </c>
      <c r="AU36" s="139">
        <f t="shared" si="10"/>
        <v>16601010</v>
      </c>
      <c r="AV36" s="141">
        <f>SUM(B36+D36+F36+H36+J36+L36+N36+P36+R36+T36+V36+X36+Z36+AB36+AD36+AF36+AH36+AJ36+AL36+AN36+AP36+AR36+AT36)</f>
        <v>279681547</v>
      </c>
      <c r="AW36" s="142">
        <f>SUM(C36+E36+G36+I36+K36+M36+O36+Q36+S36+U36+W36+Y36+AA36+AC36+AE36+AG36+AI36+AK36+AM36+AO36+AQ36+AS36+AU36)</f>
        <v>683264414</v>
      </c>
      <c r="AX36" s="443">
        <f>AX34</f>
        <v>625580535</v>
      </c>
      <c r="AY36" s="1017">
        <f>AY34</f>
        <v>1658730586</v>
      </c>
      <c r="AZ36" s="141">
        <f>AV36+AX36</f>
        <v>905262082</v>
      </c>
      <c r="BA36" s="1126">
        <f>AW36+AY36</f>
        <v>2341995000</v>
      </c>
    </row>
    <row r="37" spans="1:53" s="78" customFormat="1" ht="15" thickBot="1">
      <c r="A37" s="1139" t="s">
        <v>57</v>
      </c>
      <c r="B37" s="450"/>
      <c r="C37" s="456"/>
      <c r="D37" s="453"/>
      <c r="E37" s="456"/>
      <c r="F37" s="447"/>
      <c r="G37" s="446"/>
      <c r="H37" s="96"/>
      <c r="I37" s="97"/>
      <c r="J37" s="447"/>
      <c r="K37" s="446"/>
      <c r="L37" s="96"/>
      <c r="M37" s="97"/>
      <c r="N37" s="96"/>
      <c r="O37" s="97"/>
      <c r="P37" s="119"/>
      <c r="Q37" s="143"/>
      <c r="R37" s="118"/>
      <c r="S37" s="143"/>
      <c r="T37" s="118"/>
      <c r="U37" s="143"/>
      <c r="V37" s="98"/>
      <c r="W37" s="97"/>
      <c r="X37" s="118"/>
      <c r="Y37" s="143"/>
      <c r="Z37" s="118"/>
      <c r="AA37" s="143"/>
      <c r="AB37" s="118"/>
      <c r="AC37" s="143"/>
      <c r="AD37" s="118"/>
      <c r="AE37" s="143"/>
      <c r="AF37" s="118"/>
      <c r="AG37" s="143"/>
      <c r="AH37" s="118"/>
      <c r="AI37" s="143"/>
      <c r="AJ37" s="118"/>
      <c r="AK37" s="216"/>
      <c r="AL37" s="279"/>
      <c r="AM37" s="280"/>
      <c r="AN37" s="96"/>
      <c r="AO37" s="96"/>
      <c r="AP37" s="96"/>
      <c r="AQ37" s="96"/>
      <c r="AR37" s="98"/>
      <c r="AS37" s="96"/>
      <c r="AT37" s="98"/>
      <c r="AU37" s="96"/>
      <c r="AV37" s="281"/>
      <c r="AW37" s="282"/>
      <c r="AX37" s="443"/>
      <c r="AY37" s="1017"/>
      <c r="AZ37" s="281"/>
      <c r="BA37" s="1127"/>
    </row>
    <row r="38" spans="1:58" s="425" customFormat="1" ht="15" thickBot="1">
      <c r="A38" s="424" t="s">
        <v>54</v>
      </c>
      <c r="B38" s="452">
        <f>B36</f>
        <v>14281188</v>
      </c>
      <c r="C38" s="458">
        <f aca="true" t="shared" si="11" ref="C38:AH38">C36</f>
        <v>41705302</v>
      </c>
      <c r="D38" s="455">
        <f t="shared" si="11"/>
        <v>685172</v>
      </c>
      <c r="E38" s="458">
        <f t="shared" si="11"/>
        <v>1927030</v>
      </c>
      <c r="F38" s="449">
        <f t="shared" si="11"/>
        <v>2803972</v>
      </c>
      <c r="G38" s="445">
        <f t="shared" si="11"/>
        <v>7615075</v>
      </c>
      <c r="H38" s="430">
        <f t="shared" si="11"/>
        <v>16973367</v>
      </c>
      <c r="I38" s="429">
        <f t="shared" si="11"/>
        <v>44378886</v>
      </c>
      <c r="J38" s="449">
        <f t="shared" si="11"/>
        <v>1051086</v>
      </c>
      <c r="K38" s="445">
        <f t="shared" si="11"/>
        <v>2797618</v>
      </c>
      <c r="L38" s="430">
        <f t="shared" si="11"/>
        <v>4531648</v>
      </c>
      <c r="M38" s="429">
        <f t="shared" si="11"/>
        <v>13168585</v>
      </c>
      <c r="N38" s="430">
        <f t="shared" si="11"/>
        <v>1076094</v>
      </c>
      <c r="O38" s="429">
        <f t="shared" si="11"/>
        <v>2861160</v>
      </c>
      <c r="P38" s="427">
        <f t="shared" si="11"/>
        <v>221684</v>
      </c>
      <c r="Q38" s="428">
        <f t="shared" si="11"/>
        <v>570455</v>
      </c>
      <c r="R38" s="426">
        <f t="shared" si="11"/>
        <v>3480645</v>
      </c>
      <c r="S38" s="428">
        <f t="shared" si="11"/>
        <v>9519702</v>
      </c>
      <c r="T38" s="426">
        <f t="shared" si="11"/>
        <v>1570574</v>
      </c>
      <c r="U38" s="428">
        <f t="shared" si="11"/>
        <v>3486825</v>
      </c>
      <c r="V38" s="431">
        <f t="shared" si="11"/>
        <v>55662930</v>
      </c>
      <c r="W38" s="429">
        <f t="shared" si="11"/>
        <v>130892837</v>
      </c>
      <c r="X38" s="426">
        <f t="shared" si="11"/>
        <v>55120797</v>
      </c>
      <c r="Y38" s="428">
        <f t="shared" si="11"/>
        <v>135516440</v>
      </c>
      <c r="Z38" s="426">
        <f t="shared" si="11"/>
        <v>1502318</v>
      </c>
      <c r="AA38" s="428">
        <f t="shared" si="11"/>
        <v>3921608</v>
      </c>
      <c r="AB38" s="426">
        <f t="shared" si="11"/>
        <v>8022340</v>
      </c>
      <c r="AC38" s="428">
        <f t="shared" si="11"/>
        <v>24883779</v>
      </c>
      <c r="AD38" s="426">
        <f t="shared" si="11"/>
        <v>11004887</v>
      </c>
      <c r="AE38" s="428">
        <f t="shared" si="11"/>
        <v>24513947</v>
      </c>
      <c r="AF38" s="426">
        <f t="shared" si="11"/>
        <v>17356985</v>
      </c>
      <c r="AG38" s="428">
        <f t="shared" si="11"/>
        <v>49414445</v>
      </c>
      <c r="AH38" s="426">
        <f t="shared" si="11"/>
        <v>5919557</v>
      </c>
      <c r="AI38" s="428">
        <f aca="true" t="shared" si="12" ref="AI38:AU38">AI36</f>
        <v>16361588</v>
      </c>
      <c r="AJ38" s="426">
        <f t="shared" si="12"/>
        <v>6815494</v>
      </c>
      <c r="AK38" s="819">
        <f t="shared" si="12"/>
        <v>19969287</v>
      </c>
      <c r="AL38" s="432">
        <f t="shared" si="12"/>
        <v>0</v>
      </c>
      <c r="AM38" s="433">
        <f t="shared" si="12"/>
        <v>0</v>
      </c>
      <c r="AN38" s="430">
        <f t="shared" si="12"/>
        <v>61516716</v>
      </c>
      <c r="AO38" s="430">
        <f t="shared" si="12"/>
        <v>122469697</v>
      </c>
      <c r="AP38" s="430">
        <f t="shared" si="12"/>
        <v>1252794</v>
      </c>
      <c r="AQ38" s="430">
        <f t="shared" si="12"/>
        <v>3740801</v>
      </c>
      <c r="AR38" s="431">
        <f t="shared" si="12"/>
        <v>2952887</v>
      </c>
      <c r="AS38" s="430">
        <f t="shared" si="12"/>
        <v>6948337</v>
      </c>
      <c r="AT38" s="431">
        <f t="shared" si="12"/>
        <v>5878412</v>
      </c>
      <c r="AU38" s="430">
        <f t="shared" si="12"/>
        <v>16601010</v>
      </c>
      <c r="AV38" s="417">
        <f>SUM(B38+D38+F38+H38+J38+L38+N38+P38+R38+T38+V38+X38+Z38+AB38+AD38+AF38+AH38+AJ38+AL38+AN38+AP38+AR38+AT38)</f>
        <v>279681547</v>
      </c>
      <c r="AW38" s="418">
        <f>SUM(C38+E38+G38+I38+K38+M38+O38+Q38+S38+U38+W38+Y38+AA38+AC38+AE38+AG38+AI38+AK38+AM38+AO38+AQ38+AS38+AU38)</f>
        <v>683264414</v>
      </c>
      <c r="AX38" s="444">
        <f>AX36</f>
        <v>625580535</v>
      </c>
      <c r="AY38" s="445">
        <f>AY36</f>
        <v>1658730586</v>
      </c>
      <c r="AZ38" s="417">
        <f>AV38+AX38</f>
        <v>905262082</v>
      </c>
      <c r="BA38" s="1015">
        <f>AW38+AY38</f>
        <v>2341995000</v>
      </c>
      <c r="BE38" s="423"/>
      <c r="BF38" s="423"/>
    </row>
    <row r="39" spans="1:53" s="78" customFormat="1" ht="14.25">
      <c r="A39" s="62"/>
      <c r="V39" s="144"/>
      <c r="W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</row>
  </sheetData>
  <sheetProtection/>
  <mergeCells count="29"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  <mergeCell ref="AL3:AM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J3:K3"/>
    <mergeCell ref="L3:M3"/>
    <mergeCell ref="N3:O3"/>
    <mergeCell ref="AB3:AC3"/>
    <mergeCell ref="AD3:AE3"/>
    <mergeCell ref="AF3:AG3"/>
    <mergeCell ref="V3:W3"/>
    <mergeCell ref="X3:Y3"/>
    <mergeCell ref="Z3:AA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4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C8" sqref="AC8"/>
    </sheetView>
  </sheetViews>
  <sheetFormatPr defaultColWidth="9.140625" defaultRowHeight="15"/>
  <cols>
    <col min="1" max="1" width="55.421875" style="74" customWidth="1"/>
    <col min="2" max="2" width="13.7109375" style="74" bestFit="1" customWidth="1"/>
    <col min="3" max="3" width="10.421875" style="74" customWidth="1"/>
    <col min="4" max="4" width="12.28125" style="74" bestFit="1" customWidth="1"/>
    <col min="5" max="6" width="12.140625" style="74" bestFit="1" customWidth="1"/>
    <col min="7" max="7" width="18.28125" style="74" bestFit="1" customWidth="1"/>
    <col min="8" max="8" width="12.140625" style="74" bestFit="1" customWidth="1"/>
    <col min="9" max="9" width="12.8515625" style="74" bestFit="1" customWidth="1"/>
    <col min="10" max="10" width="10.421875" style="74" bestFit="1" customWidth="1"/>
    <col min="11" max="11" width="13.8515625" style="74" bestFit="1" customWidth="1"/>
    <col min="12" max="12" width="11.57421875" style="74" bestFit="1" customWidth="1"/>
    <col min="13" max="13" width="13.8515625" style="74" bestFit="1" customWidth="1"/>
    <col min="14" max="15" width="12.140625" style="74" bestFit="1" customWidth="1"/>
    <col min="16" max="16" width="13.140625" style="74" bestFit="1" customWidth="1"/>
    <col min="17" max="17" width="10.421875" style="74" bestFit="1" customWidth="1"/>
    <col min="18" max="19" width="13.140625" style="74" bestFit="1" customWidth="1"/>
    <col min="20" max="20" width="12.140625" style="74" bestFit="1" customWidth="1"/>
    <col min="21" max="21" width="11.57421875" style="74" bestFit="1" customWidth="1"/>
    <col min="22" max="22" width="10.7109375" style="74" bestFit="1" customWidth="1"/>
    <col min="23" max="23" width="13.8515625" style="74" bestFit="1" customWidth="1"/>
    <col min="24" max="24" width="12.140625" style="74" bestFit="1" customWidth="1"/>
    <col min="25" max="25" width="12.8515625" style="74" bestFit="1" customWidth="1"/>
    <col min="26" max="26" width="12.140625" style="74" bestFit="1" customWidth="1"/>
    <col min="27" max="27" width="12.8515625" style="43" bestFit="1" customWidth="1"/>
    <col min="28" max="16384" width="9.140625" style="74" customWidth="1"/>
  </cols>
  <sheetData>
    <row r="1" spans="1:27" s="339" customFormat="1" ht="17.25" thickBot="1">
      <c r="A1" s="1220" t="s">
        <v>207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  <c r="T1" s="1220"/>
      <c r="U1" s="1220"/>
      <c r="V1" s="1220"/>
      <c r="W1" s="1220"/>
      <c r="X1" s="1220"/>
      <c r="Y1" s="1220"/>
      <c r="Z1" s="1220"/>
      <c r="AA1" s="1220"/>
    </row>
    <row r="2" spans="1:27" ht="69" customHeight="1" thickBot="1">
      <c r="A2" s="1219" t="s">
        <v>0</v>
      </c>
      <c r="B2" s="1009" t="s">
        <v>117</v>
      </c>
      <c r="C2" s="1008" t="s">
        <v>118</v>
      </c>
      <c r="D2" s="1008" t="s">
        <v>119</v>
      </c>
      <c r="E2" s="1008" t="s">
        <v>120</v>
      </c>
      <c r="F2" s="1010" t="s">
        <v>121</v>
      </c>
      <c r="G2" s="1010" t="s">
        <v>122</v>
      </c>
      <c r="H2" s="1008" t="s">
        <v>302</v>
      </c>
      <c r="I2" s="1008" t="s">
        <v>124</v>
      </c>
      <c r="J2" s="1008" t="s">
        <v>125</v>
      </c>
      <c r="K2" s="1011" t="s">
        <v>126</v>
      </c>
      <c r="L2" s="1008" t="s">
        <v>127</v>
      </c>
      <c r="M2" s="1008" t="s">
        <v>128</v>
      </c>
      <c r="N2" s="1008" t="s">
        <v>129</v>
      </c>
      <c r="O2" s="1008" t="s">
        <v>130</v>
      </c>
      <c r="P2" s="1008" t="s">
        <v>131</v>
      </c>
      <c r="Q2" s="1008" t="s">
        <v>132</v>
      </c>
      <c r="R2" s="1008" t="s">
        <v>133</v>
      </c>
      <c r="S2" s="1008" t="s">
        <v>134</v>
      </c>
      <c r="T2" s="1008" t="s">
        <v>135</v>
      </c>
      <c r="U2" s="1008" t="s">
        <v>136</v>
      </c>
      <c r="V2" s="1008" t="s">
        <v>137</v>
      </c>
      <c r="W2" s="1008" t="s">
        <v>138</v>
      </c>
      <c r="X2" s="1008" t="s">
        <v>139</v>
      </c>
      <c r="Y2" s="1076" t="s">
        <v>1</v>
      </c>
      <c r="Z2" s="1074" t="s">
        <v>140</v>
      </c>
      <c r="AA2" s="1072" t="s">
        <v>2</v>
      </c>
    </row>
    <row r="3" spans="1:27" s="377" customFormat="1" ht="36.75" customHeight="1" thickBot="1">
      <c r="A3" s="1219"/>
      <c r="B3" s="460" t="s">
        <v>299</v>
      </c>
      <c r="C3" s="460" t="s">
        <v>299</v>
      </c>
      <c r="D3" s="460" t="s">
        <v>299</v>
      </c>
      <c r="E3" s="460" t="s">
        <v>299</v>
      </c>
      <c r="F3" s="460" t="s">
        <v>299</v>
      </c>
      <c r="G3" s="460" t="s">
        <v>299</v>
      </c>
      <c r="H3" s="460" t="s">
        <v>299</v>
      </c>
      <c r="I3" s="460" t="s">
        <v>299</v>
      </c>
      <c r="J3" s="460" t="s">
        <v>299</v>
      </c>
      <c r="K3" s="460" t="s">
        <v>299</v>
      </c>
      <c r="L3" s="460" t="s">
        <v>299</v>
      </c>
      <c r="M3" s="460" t="s">
        <v>299</v>
      </c>
      <c r="N3" s="460" t="s">
        <v>299</v>
      </c>
      <c r="O3" s="460" t="s">
        <v>299</v>
      </c>
      <c r="P3" s="460" t="s">
        <v>299</v>
      </c>
      <c r="Q3" s="460" t="s">
        <v>299</v>
      </c>
      <c r="R3" s="460" t="s">
        <v>299</v>
      </c>
      <c r="S3" s="460" t="s">
        <v>299</v>
      </c>
      <c r="T3" s="460" t="s">
        <v>299</v>
      </c>
      <c r="U3" s="460" t="s">
        <v>299</v>
      </c>
      <c r="V3" s="460" t="s">
        <v>299</v>
      </c>
      <c r="W3" s="460" t="s">
        <v>299</v>
      </c>
      <c r="X3" s="460" t="s">
        <v>299</v>
      </c>
      <c r="Y3" s="460" t="s">
        <v>299</v>
      </c>
      <c r="Z3" s="1075" t="s">
        <v>299</v>
      </c>
      <c r="AA3" s="460" t="s">
        <v>299</v>
      </c>
    </row>
    <row r="4" spans="1:27" ht="16.5">
      <c r="A4" s="573" t="s">
        <v>194</v>
      </c>
      <c r="B4" s="572"/>
      <c r="C4" s="569"/>
      <c r="D4" s="569">
        <v>0</v>
      </c>
      <c r="E4" s="569"/>
      <c r="F4" s="569"/>
      <c r="G4" s="569"/>
      <c r="H4" s="565"/>
      <c r="I4" s="565"/>
      <c r="J4" s="564">
        <v>0</v>
      </c>
      <c r="K4" s="572">
        <v>0</v>
      </c>
      <c r="L4" s="565"/>
      <c r="M4" s="565"/>
      <c r="N4" s="565"/>
      <c r="O4" s="565"/>
      <c r="P4" s="565"/>
      <c r="Q4" s="565"/>
      <c r="R4" s="565">
        <v>0</v>
      </c>
      <c r="S4" s="565"/>
      <c r="T4" s="565"/>
      <c r="U4" s="565"/>
      <c r="V4" s="565"/>
      <c r="W4" s="565"/>
      <c r="X4" s="565"/>
      <c r="Y4" s="564">
        <f aca="true" t="shared" si="0" ref="Y4:Y14">SUM(B4+C4+D4+E4+F4+G4+H4+I4+J4+K4+L4+M4+N4+O4+P4+Q4+R4+S4+T4+U4+V4+W4+X4)</f>
        <v>0</v>
      </c>
      <c r="Z4" s="565"/>
      <c r="AA4" s="564">
        <f aca="true" t="shared" si="1" ref="AA4:AA14">Y4+Z4</f>
        <v>0</v>
      </c>
    </row>
    <row r="5" spans="1:27" ht="16.5">
      <c r="A5" s="439" t="s">
        <v>195</v>
      </c>
      <c r="B5" s="570">
        <v>682920</v>
      </c>
      <c r="C5" s="562"/>
      <c r="D5" s="562"/>
      <c r="E5" s="562"/>
      <c r="F5" s="562"/>
      <c r="G5" s="562"/>
      <c r="H5" s="562"/>
      <c r="I5" s="562"/>
      <c r="J5" s="563"/>
      <c r="K5" s="570"/>
      <c r="L5" s="562"/>
      <c r="M5" s="562"/>
      <c r="N5" s="562"/>
      <c r="O5" s="562"/>
      <c r="P5" s="562"/>
      <c r="Q5" s="562">
        <v>258784</v>
      </c>
      <c r="R5" s="562"/>
      <c r="S5" s="562"/>
      <c r="T5" s="562"/>
      <c r="U5" s="562"/>
      <c r="V5" s="562"/>
      <c r="W5" s="562"/>
      <c r="X5" s="562"/>
      <c r="Y5" s="563">
        <f t="shared" si="0"/>
        <v>941704</v>
      </c>
      <c r="Z5" s="562"/>
      <c r="AA5" s="563">
        <f t="shared" si="1"/>
        <v>941704</v>
      </c>
    </row>
    <row r="6" spans="1:27" ht="16.5">
      <c r="A6" s="439" t="s">
        <v>196</v>
      </c>
      <c r="B6" s="570">
        <v>2000028</v>
      </c>
      <c r="C6" s="566">
        <v>7070805</v>
      </c>
      <c r="D6" s="562"/>
      <c r="E6" s="562">
        <v>10599550</v>
      </c>
      <c r="F6" s="562">
        <v>2074442</v>
      </c>
      <c r="G6" s="562">
        <v>1250000</v>
      </c>
      <c r="H6" s="562">
        <v>8329217</v>
      </c>
      <c r="I6" s="562">
        <v>16848478</v>
      </c>
      <c r="J6" s="563"/>
      <c r="K6" s="570"/>
      <c r="L6" s="562">
        <v>3925060</v>
      </c>
      <c r="M6" s="562">
        <v>34287154</v>
      </c>
      <c r="N6" s="562"/>
      <c r="O6" s="562">
        <v>2700000</v>
      </c>
      <c r="P6" s="562">
        <v>520363</v>
      </c>
      <c r="Q6" s="562">
        <v>680913</v>
      </c>
      <c r="R6" s="562"/>
      <c r="S6" s="562">
        <v>3031592</v>
      </c>
      <c r="T6" s="562"/>
      <c r="U6" s="562">
        <v>2177</v>
      </c>
      <c r="V6" s="562">
        <v>9736</v>
      </c>
      <c r="W6" s="562">
        <v>2686056</v>
      </c>
      <c r="X6" s="562">
        <v>259637</v>
      </c>
      <c r="Y6" s="563">
        <f t="shared" si="0"/>
        <v>96275208</v>
      </c>
      <c r="Z6" s="562"/>
      <c r="AA6" s="563">
        <f t="shared" si="1"/>
        <v>96275208</v>
      </c>
    </row>
    <row r="7" spans="1:27" ht="16.5">
      <c r="A7" s="439" t="s">
        <v>197</v>
      </c>
      <c r="B7" s="570"/>
      <c r="C7" s="566"/>
      <c r="D7" s="562"/>
      <c r="E7" s="562">
        <v>403626</v>
      </c>
      <c r="F7" s="562">
        <v>47337</v>
      </c>
      <c r="G7" s="562"/>
      <c r="H7" s="562"/>
      <c r="I7" s="562"/>
      <c r="J7" s="563"/>
      <c r="K7" s="570"/>
      <c r="L7" s="562"/>
      <c r="M7" s="562">
        <v>233264</v>
      </c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3">
        <f t="shared" si="0"/>
        <v>684227</v>
      </c>
      <c r="Z7" s="562"/>
      <c r="AA7" s="563">
        <f t="shared" si="1"/>
        <v>684227</v>
      </c>
    </row>
    <row r="8" spans="1:27" ht="16.5">
      <c r="A8" s="439" t="s">
        <v>198</v>
      </c>
      <c r="B8" s="570">
        <v>98448</v>
      </c>
      <c r="C8" s="566"/>
      <c r="D8" s="562"/>
      <c r="E8" s="562"/>
      <c r="F8" s="562"/>
      <c r="G8" s="562"/>
      <c r="H8" s="562"/>
      <c r="I8" s="562"/>
      <c r="J8" s="563"/>
      <c r="K8" s="570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3">
        <f t="shared" si="0"/>
        <v>98448</v>
      </c>
      <c r="Z8" s="562">
        <f>Z14+6056</f>
        <v>6285140</v>
      </c>
      <c r="AA8" s="563">
        <f t="shared" si="1"/>
        <v>6383588</v>
      </c>
    </row>
    <row r="9" spans="1:27" ht="16.5">
      <c r="A9" s="439" t="s">
        <v>199</v>
      </c>
      <c r="B9" s="570"/>
      <c r="C9" s="566"/>
      <c r="D9" s="562"/>
      <c r="E9" s="562"/>
      <c r="F9" s="562"/>
      <c r="G9" s="562"/>
      <c r="H9" s="562"/>
      <c r="I9" s="562"/>
      <c r="J9" s="563"/>
      <c r="K9" s="570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3">
        <f t="shared" si="0"/>
        <v>0</v>
      </c>
      <c r="Z9" s="562"/>
      <c r="AA9" s="563">
        <f t="shared" si="1"/>
        <v>0</v>
      </c>
    </row>
    <row r="10" spans="1:27" ht="16.5">
      <c r="A10" s="439" t="s">
        <v>200</v>
      </c>
      <c r="B10" s="570"/>
      <c r="C10" s="566"/>
      <c r="D10" s="562"/>
      <c r="E10" s="562"/>
      <c r="F10" s="562"/>
      <c r="G10" s="562"/>
      <c r="H10" s="562"/>
      <c r="I10" s="562"/>
      <c r="J10" s="563"/>
      <c r="K10" s="570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3">
        <f t="shared" si="0"/>
        <v>0</v>
      </c>
      <c r="Z10" s="562"/>
      <c r="AA10" s="563">
        <f t="shared" si="1"/>
        <v>0</v>
      </c>
    </row>
    <row r="11" spans="1:27" ht="16.5">
      <c r="A11" s="439" t="s">
        <v>201</v>
      </c>
      <c r="B11" s="570"/>
      <c r="C11" s="566"/>
      <c r="D11" s="562"/>
      <c r="E11" s="562"/>
      <c r="F11" s="562"/>
      <c r="G11" s="562"/>
      <c r="H11" s="562"/>
      <c r="I11" s="562"/>
      <c r="J11" s="563"/>
      <c r="K11" s="570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3">
        <f t="shared" si="0"/>
        <v>0</v>
      </c>
      <c r="Z11" s="562"/>
      <c r="AA11" s="563">
        <f t="shared" si="1"/>
        <v>0</v>
      </c>
    </row>
    <row r="12" spans="1:27" ht="16.5">
      <c r="A12" s="439" t="s">
        <v>202</v>
      </c>
      <c r="B12" s="570"/>
      <c r="C12" s="566"/>
      <c r="D12" s="562"/>
      <c r="E12" s="562"/>
      <c r="F12" s="562"/>
      <c r="G12" s="562"/>
      <c r="H12" s="562"/>
      <c r="I12" s="562"/>
      <c r="J12" s="563"/>
      <c r="K12" s="570"/>
      <c r="L12" s="562"/>
      <c r="M12" s="562"/>
      <c r="N12" s="562"/>
      <c r="O12" s="562">
        <v>100000</v>
      </c>
      <c r="P12" s="562"/>
      <c r="Q12" s="562">
        <v>537546</v>
      </c>
      <c r="R12" s="562"/>
      <c r="S12" s="562"/>
      <c r="T12" s="562"/>
      <c r="U12" s="562">
        <v>721</v>
      </c>
      <c r="V12" s="562"/>
      <c r="W12" s="562"/>
      <c r="X12" s="562"/>
      <c r="Y12" s="563">
        <f t="shared" si="0"/>
        <v>638267</v>
      </c>
      <c r="Z12" s="562">
        <v>-6056</v>
      </c>
      <c r="AA12" s="563">
        <f t="shared" si="1"/>
        <v>632211</v>
      </c>
    </row>
    <row r="13" spans="1:27" ht="16.5">
      <c r="A13" s="439" t="s">
        <v>203</v>
      </c>
      <c r="B13" s="570"/>
      <c r="C13" s="566"/>
      <c r="D13" s="562"/>
      <c r="E13" s="562">
        <v>86239893</v>
      </c>
      <c r="F13" s="562"/>
      <c r="G13" s="562">
        <v>250997</v>
      </c>
      <c r="H13" s="562"/>
      <c r="I13" s="562"/>
      <c r="J13" s="563"/>
      <c r="K13" s="570"/>
      <c r="L13" s="562">
        <v>42575728</v>
      </c>
      <c r="M13" s="562">
        <v>24657378</v>
      </c>
      <c r="N13" s="562">
        <v>453200</v>
      </c>
      <c r="O13" s="562"/>
      <c r="P13" s="562">
        <v>22936117</v>
      </c>
      <c r="Q13" s="562">
        <v>6572003</v>
      </c>
      <c r="R13" s="562"/>
      <c r="S13" s="562"/>
      <c r="T13" s="562"/>
      <c r="U13" s="562">
        <v>73516656</v>
      </c>
      <c r="V13" s="562">
        <v>4467383</v>
      </c>
      <c r="W13" s="562">
        <v>1016686</v>
      </c>
      <c r="X13" s="562">
        <v>60211</v>
      </c>
      <c r="Y13" s="563">
        <f t="shared" si="0"/>
        <v>262746252</v>
      </c>
      <c r="Z13" s="562"/>
      <c r="AA13" s="563">
        <f t="shared" si="1"/>
        <v>262746252</v>
      </c>
    </row>
    <row r="14" spans="1:27" s="438" customFormat="1" ht="17.25" thickBot="1">
      <c r="A14" s="574" t="s">
        <v>54</v>
      </c>
      <c r="B14" s="571">
        <f aca="true" t="shared" si="2" ref="B14:X14">SUM(B4:B13)</f>
        <v>2781396</v>
      </c>
      <c r="C14" s="436">
        <f t="shared" si="2"/>
        <v>7070805</v>
      </c>
      <c r="D14" s="437">
        <f t="shared" si="2"/>
        <v>0</v>
      </c>
      <c r="E14" s="437">
        <f t="shared" si="2"/>
        <v>97243069</v>
      </c>
      <c r="F14" s="437">
        <f t="shared" si="2"/>
        <v>2121779</v>
      </c>
      <c r="G14" s="437">
        <f t="shared" si="2"/>
        <v>1500997</v>
      </c>
      <c r="H14" s="437">
        <f t="shared" si="2"/>
        <v>8329217</v>
      </c>
      <c r="I14" s="437">
        <f t="shared" si="2"/>
        <v>16848478</v>
      </c>
      <c r="J14" s="437">
        <f t="shared" si="2"/>
        <v>0</v>
      </c>
      <c r="K14" s="571">
        <f t="shared" si="2"/>
        <v>0</v>
      </c>
      <c r="L14" s="436">
        <f t="shared" si="2"/>
        <v>46500788</v>
      </c>
      <c r="M14" s="436">
        <f t="shared" si="2"/>
        <v>59177796</v>
      </c>
      <c r="N14" s="436">
        <f t="shared" si="2"/>
        <v>453200</v>
      </c>
      <c r="O14" s="436">
        <f t="shared" si="2"/>
        <v>2800000</v>
      </c>
      <c r="P14" s="436">
        <f t="shared" si="2"/>
        <v>23456480</v>
      </c>
      <c r="Q14" s="436">
        <f t="shared" si="2"/>
        <v>8049246</v>
      </c>
      <c r="R14" s="436">
        <f t="shared" si="2"/>
        <v>0</v>
      </c>
      <c r="S14" s="436">
        <f t="shared" si="2"/>
        <v>3031592</v>
      </c>
      <c r="T14" s="436">
        <f t="shared" si="2"/>
        <v>0</v>
      </c>
      <c r="U14" s="436">
        <f>SUM(U4:U13)</f>
        <v>73519554</v>
      </c>
      <c r="V14" s="436">
        <f t="shared" si="2"/>
        <v>4477119</v>
      </c>
      <c r="W14" s="436">
        <f t="shared" si="2"/>
        <v>3702742</v>
      </c>
      <c r="X14" s="437">
        <f t="shared" si="2"/>
        <v>319848</v>
      </c>
      <c r="Y14" s="1073">
        <f t="shared" si="0"/>
        <v>361384106</v>
      </c>
      <c r="Z14" s="436">
        <v>6279084</v>
      </c>
      <c r="AA14" s="1073">
        <f t="shared" si="1"/>
        <v>367663190</v>
      </c>
    </row>
  </sheetData>
  <sheetProtection/>
  <mergeCells count="2">
    <mergeCell ref="A2:A3"/>
    <mergeCell ref="A1:AA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A8"/>
  <sheetViews>
    <sheetView zoomScalePageLayoutView="0" workbookViewId="0" topLeftCell="A1">
      <pane xSplit="1" topLeftCell="M1" activePane="topRight" state="frozen"/>
      <selection pane="topLeft" activeCell="A1" sqref="A1"/>
      <selection pane="topRight" activeCell="J10" sqref="J10"/>
    </sheetView>
  </sheetViews>
  <sheetFormatPr defaultColWidth="9.140625" defaultRowHeight="15"/>
  <cols>
    <col min="1" max="1" width="19.57421875" style="74" customWidth="1"/>
    <col min="2" max="3" width="10.8515625" style="74" customWidth="1"/>
    <col min="4" max="4" width="10.57421875" style="74" customWidth="1"/>
    <col min="5" max="5" width="10.421875" style="74" customWidth="1"/>
    <col min="6" max="6" width="11.28125" style="74" customWidth="1"/>
    <col min="7" max="7" width="10.8515625" style="74" customWidth="1"/>
    <col min="8" max="9" width="10.57421875" style="74" customWidth="1"/>
    <col min="10" max="11" width="10.28125" style="74" customWidth="1"/>
    <col min="12" max="12" width="10.57421875" style="74" customWidth="1"/>
    <col min="13" max="13" width="10.7109375" style="74" customWidth="1"/>
    <col min="14" max="14" width="10.421875" style="74" customWidth="1"/>
    <col min="15" max="15" width="11.421875" style="74" customWidth="1"/>
    <col min="16" max="17" width="10.421875" style="74" customWidth="1"/>
    <col min="18" max="18" width="11.28125" style="74" customWidth="1"/>
    <col min="19" max="20" width="10.28125" style="74" customWidth="1"/>
    <col min="21" max="23" width="10.57421875" style="74" customWidth="1"/>
    <col min="24" max="24" width="10.7109375" style="74" customWidth="1"/>
    <col min="25" max="25" width="10.28125" style="74" bestFit="1" customWidth="1"/>
    <col min="26" max="26" width="10.421875" style="74" customWidth="1"/>
    <col min="27" max="27" width="10.28125" style="74" bestFit="1" customWidth="1"/>
    <col min="28" max="16384" width="9.140625" style="74" customWidth="1"/>
  </cols>
  <sheetData>
    <row r="1" s="339" customFormat="1" ht="17.25" thickBot="1">
      <c r="A1" s="340" t="s">
        <v>208</v>
      </c>
    </row>
    <row r="2" spans="1:27" ht="129" thickBot="1">
      <c r="A2" s="1221" t="s">
        <v>0</v>
      </c>
      <c r="B2" s="459" t="s">
        <v>117</v>
      </c>
      <c r="C2" s="497" t="s">
        <v>118</v>
      </c>
      <c r="D2" s="497" t="s">
        <v>119</v>
      </c>
      <c r="E2" s="497" t="s">
        <v>120</v>
      </c>
      <c r="F2" s="497" t="s">
        <v>121</v>
      </c>
      <c r="G2" s="497" t="s">
        <v>122</v>
      </c>
      <c r="H2" s="497" t="s">
        <v>302</v>
      </c>
      <c r="I2" s="497" t="s">
        <v>124</v>
      </c>
      <c r="J2" s="497" t="s">
        <v>125</v>
      </c>
      <c r="K2" s="497" t="s">
        <v>126</v>
      </c>
      <c r="L2" s="497" t="s">
        <v>127</v>
      </c>
      <c r="M2" s="497" t="s">
        <v>128</v>
      </c>
      <c r="N2" s="497" t="s">
        <v>129</v>
      </c>
      <c r="O2" s="497" t="s">
        <v>130</v>
      </c>
      <c r="P2" s="497" t="s">
        <v>131</v>
      </c>
      <c r="Q2" s="497" t="s">
        <v>132</v>
      </c>
      <c r="R2" s="497" t="s">
        <v>133</v>
      </c>
      <c r="S2" s="497" t="s">
        <v>134</v>
      </c>
      <c r="T2" s="497" t="s">
        <v>135</v>
      </c>
      <c r="U2" s="497" t="s">
        <v>136</v>
      </c>
      <c r="V2" s="497" t="s">
        <v>137</v>
      </c>
      <c r="W2" s="497" t="s">
        <v>138</v>
      </c>
      <c r="X2" s="497" t="s">
        <v>139</v>
      </c>
      <c r="Y2" s="497" t="s">
        <v>1</v>
      </c>
      <c r="Z2" s="497" t="s">
        <v>140</v>
      </c>
      <c r="AA2" s="497" t="s">
        <v>2</v>
      </c>
    </row>
    <row r="3" spans="1:27" s="377" customFormat="1" ht="31.5" customHeight="1" thickBot="1">
      <c r="A3" s="1222"/>
      <c r="B3" s="460" t="s">
        <v>299</v>
      </c>
      <c r="C3" s="460" t="s">
        <v>299</v>
      </c>
      <c r="D3" s="460" t="s">
        <v>299</v>
      </c>
      <c r="E3" s="460" t="s">
        <v>299</v>
      </c>
      <c r="F3" s="460" t="s">
        <v>299</v>
      </c>
      <c r="G3" s="460" t="s">
        <v>299</v>
      </c>
      <c r="H3" s="460" t="s">
        <v>299</v>
      </c>
      <c r="I3" s="460" t="s">
        <v>299</v>
      </c>
      <c r="J3" s="460" t="s">
        <v>299</v>
      </c>
      <c r="K3" s="460" t="s">
        <v>299</v>
      </c>
      <c r="L3" s="460" t="s">
        <v>299</v>
      </c>
      <c r="M3" s="460" t="s">
        <v>299</v>
      </c>
      <c r="N3" s="460" t="s">
        <v>299</v>
      </c>
      <c r="O3" s="460" t="s">
        <v>299</v>
      </c>
      <c r="P3" s="460" t="s">
        <v>299</v>
      </c>
      <c r="Q3" s="460" t="s">
        <v>299</v>
      </c>
      <c r="R3" s="460" t="s">
        <v>299</v>
      </c>
      <c r="S3" s="460" t="s">
        <v>299</v>
      </c>
      <c r="T3" s="460" t="s">
        <v>299</v>
      </c>
      <c r="U3" s="460" t="s">
        <v>299</v>
      </c>
      <c r="V3" s="460" t="s">
        <v>299</v>
      </c>
      <c r="W3" s="460" t="s">
        <v>299</v>
      </c>
      <c r="X3" s="460" t="s">
        <v>299</v>
      </c>
      <c r="Y3" s="460" t="s">
        <v>299</v>
      </c>
      <c r="Z3" s="460" t="s">
        <v>299</v>
      </c>
      <c r="AA3" s="460" t="s">
        <v>299</v>
      </c>
    </row>
    <row r="4" spans="1:27" ht="17.25" thickBot="1">
      <c r="A4" s="332" t="s">
        <v>204</v>
      </c>
      <c r="B4" s="328"/>
      <c r="C4" s="328">
        <v>700000</v>
      </c>
      <c r="D4" s="328"/>
      <c r="E4" s="328"/>
      <c r="F4" s="328">
        <v>600000</v>
      </c>
      <c r="G4" s="328"/>
      <c r="H4" s="328"/>
      <c r="I4" s="328"/>
      <c r="J4" s="328"/>
      <c r="K4" s="328"/>
      <c r="L4" s="328"/>
      <c r="M4" s="328"/>
      <c r="N4" s="328"/>
      <c r="O4" s="328">
        <v>1000000</v>
      </c>
      <c r="P4" s="328"/>
      <c r="Q4" s="328"/>
      <c r="R4" s="328"/>
      <c r="S4" s="328"/>
      <c r="T4" s="328"/>
      <c r="U4" s="328"/>
      <c r="V4" s="328"/>
      <c r="W4" s="337"/>
      <c r="X4" s="330"/>
      <c r="Y4" s="328">
        <f>SUM(B4:X4)</f>
        <v>2300000</v>
      </c>
      <c r="Z4" s="333">
        <v>0</v>
      </c>
      <c r="AA4" s="335">
        <f>SUM(Y4+Z4)</f>
        <v>2300000</v>
      </c>
    </row>
    <row r="5" spans="1:27" ht="17.25" thickBot="1">
      <c r="A5" s="327" t="s">
        <v>205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38"/>
      <c r="X5" s="331"/>
      <c r="Y5" s="328">
        <f>SUM(B5:X5)</f>
        <v>0</v>
      </c>
      <c r="Z5" s="334"/>
      <c r="AA5" s="336"/>
    </row>
    <row r="6" spans="1:27" ht="17.25" thickBot="1">
      <c r="A6" s="327" t="s">
        <v>206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38"/>
      <c r="X6" s="331"/>
      <c r="Y6" s="328">
        <f>SUM(B6:X6)</f>
        <v>0</v>
      </c>
      <c r="Z6" s="334"/>
      <c r="AA6" s="336"/>
    </row>
    <row r="7" spans="1:27" ht="16.5">
      <c r="A7" s="327" t="s">
        <v>75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>
        <v>16091</v>
      </c>
      <c r="S7" s="329"/>
      <c r="T7" s="329"/>
      <c r="U7" s="329"/>
      <c r="V7" s="329"/>
      <c r="W7" s="338"/>
      <c r="X7" s="331"/>
      <c r="Y7" s="328">
        <f>SUM(B7:X7)</f>
        <v>16091</v>
      </c>
      <c r="Z7" s="334"/>
      <c r="AA7" s="336"/>
    </row>
    <row r="8" spans="1:27" s="377" customFormat="1" ht="17.25" thickBot="1">
      <c r="A8" s="434" t="s">
        <v>54</v>
      </c>
      <c r="B8" s="435">
        <f>SUM(B4:B7)</f>
        <v>0</v>
      </c>
      <c r="C8" s="435">
        <f aca="true" t="shared" si="0" ref="C8:AA8">SUM(C4:C7)</f>
        <v>700000</v>
      </c>
      <c r="D8" s="435">
        <f t="shared" si="0"/>
        <v>0</v>
      </c>
      <c r="E8" s="435">
        <f t="shared" si="0"/>
        <v>0</v>
      </c>
      <c r="F8" s="435">
        <f t="shared" si="0"/>
        <v>600000</v>
      </c>
      <c r="G8" s="435">
        <f t="shared" si="0"/>
        <v>0</v>
      </c>
      <c r="H8" s="435">
        <f t="shared" si="0"/>
        <v>0</v>
      </c>
      <c r="I8" s="435">
        <f t="shared" si="0"/>
        <v>0</v>
      </c>
      <c r="J8" s="435">
        <f t="shared" si="0"/>
        <v>0</v>
      </c>
      <c r="K8" s="435">
        <f t="shared" si="0"/>
        <v>0</v>
      </c>
      <c r="L8" s="435">
        <f t="shared" si="0"/>
        <v>0</v>
      </c>
      <c r="M8" s="435">
        <f t="shared" si="0"/>
        <v>0</v>
      </c>
      <c r="N8" s="435">
        <f t="shared" si="0"/>
        <v>0</v>
      </c>
      <c r="O8" s="435">
        <f t="shared" si="0"/>
        <v>1000000</v>
      </c>
      <c r="P8" s="435">
        <f t="shared" si="0"/>
        <v>0</v>
      </c>
      <c r="Q8" s="435">
        <f t="shared" si="0"/>
        <v>0</v>
      </c>
      <c r="R8" s="435">
        <f t="shared" si="0"/>
        <v>16091</v>
      </c>
      <c r="S8" s="435">
        <f t="shared" si="0"/>
        <v>0</v>
      </c>
      <c r="T8" s="435">
        <f t="shared" si="0"/>
        <v>0</v>
      </c>
      <c r="U8" s="435">
        <f t="shared" si="0"/>
        <v>0</v>
      </c>
      <c r="V8" s="435">
        <f t="shared" si="0"/>
        <v>0</v>
      </c>
      <c r="W8" s="435">
        <f t="shared" si="0"/>
        <v>0</v>
      </c>
      <c r="X8" s="435">
        <f t="shared" si="0"/>
        <v>0</v>
      </c>
      <c r="Y8" s="435">
        <f t="shared" si="0"/>
        <v>2316091</v>
      </c>
      <c r="Z8" s="435">
        <f t="shared" si="0"/>
        <v>0</v>
      </c>
      <c r="AA8" s="435">
        <f t="shared" si="0"/>
        <v>2300000</v>
      </c>
    </row>
  </sheetData>
  <sheetProtection/>
  <mergeCells count="1">
    <mergeCell ref="A2:A3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2"/>
  <sheetViews>
    <sheetView zoomScalePageLayoutView="0" workbookViewId="0" topLeftCell="A19">
      <pane xSplit="1" topLeftCell="V1" activePane="topRight" state="frozen"/>
      <selection pane="topLeft" activeCell="A1" sqref="A1"/>
      <selection pane="topRight" activeCell="AB25" sqref="AB25"/>
    </sheetView>
  </sheetViews>
  <sheetFormatPr defaultColWidth="9.140625" defaultRowHeight="15"/>
  <cols>
    <col min="1" max="1" width="38.421875" style="1071" bestFit="1" customWidth="1"/>
    <col min="2" max="19" width="22.7109375" style="78" bestFit="1" customWidth="1"/>
    <col min="20" max="20" width="22.7109375" style="811" bestFit="1" customWidth="1"/>
    <col min="21" max="26" width="22.7109375" style="78" bestFit="1" customWidth="1"/>
    <col min="27" max="27" width="22.7109375" style="811" bestFit="1" customWidth="1"/>
    <col min="28" max="16384" width="9.140625" style="811" customWidth="1"/>
  </cols>
  <sheetData>
    <row r="1" spans="1:27" ht="43.5" thickBot="1">
      <c r="A1" s="1040" t="s">
        <v>313</v>
      </c>
      <c r="B1" s="1041" t="s">
        <v>117</v>
      </c>
      <c r="C1" s="1042" t="s">
        <v>118</v>
      </c>
      <c r="D1" s="1042" t="s">
        <v>119</v>
      </c>
      <c r="E1" s="1042" t="s">
        <v>120</v>
      </c>
      <c r="F1" s="1042" t="s">
        <v>121</v>
      </c>
      <c r="G1" s="1042" t="s">
        <v>122</v>
      </c>
      <c r="H1" s="1042" t="s">
        <v>302</v>
      </c>
      <c r="I1" s="1042" t="s">
        <v>124</v>
      </c>
      <c r="J1" s="1042" t="s">
        <v>125</v>
      </c>
      <c r="K1" s="1042" t="s">
        <v>126</v>
      </c>
      <c r="L1" s="1042" t="s">
        <v>127</v>
      </c>
      <c r="M1" s="1042" t="s">
        <v>128</v>
      </c>
      <c r="N1" s="1042" t="s">
        <v>129</v>
      </c>
      <c r="O1" s="1042" t="s">
        <v>130</v>
      </c>
      <c r="P1" s="1043" t="s">
        <v>131</v>
      </c>
      <c r="Q1" s="1042" t="s">
        <v>132</v>
      </c>
      <c r="R1" s="1042" t="s">
        <v>133</v>
      </c>
      <c r="S1" s="1042" t="s">
        <v>134</v>
      </c>
      <c r="T1" s="1044" t="s">
        <v>135</v>
      </c>
      <c r="U1" s="1045" t="s">
        <v>136</v>
      </c>
      <c r="V1" s="1046" t="s">
        <v>137</v>
      </c>
      <c r="W1" s="1042" t="s">
        <v>138</v>
      </c>
      <c r="X1" s="1113" t="s">
        <v>139</v>
      </c>
      <c r="Y1" s="1121" t="s">
        <v>1</v>
      </c>
      <c r="Z1" s="1043" t="s">
        <v>140</v>
      </c>
      <c r="AA1" s="1047" t="s">
        <v>2</v>
      </c>
    </row>
    <row r="2" spans="1:27" s="1024" customFormat="1" ht="31.5" customHeight="1" thickBot="1">
      <c r="A2" s="424" t="s">
        <v>0</v>
      </c>
      <c r="B2" s="1048" t="s">
        <v>347</v>
      </c>
      <c r="C2" s="1048" t="s">
        <v>347</v>
      </c>
      <c r="D2" s="1048" t="s">
        <v>347</v>
      </c>
      <c r="E2" s="1048" t="s">
        <v>347</v>
      </c>
      <c r="F2" s="1048" t="s">
        <v>347</v>
      </c>
      <c r="G2" s="1048" t="s">
        <v>347</v>
      </c>
      <c r="H2" s="1048" t="s">
        <v>347</v>
      </c>
      <c r="I2" s="1048" t="s">
        <v>347</v>
      </c>
      <c r="J2" s="1048" t="s">
        <v>347</v>
      </c>
      <c r="K2" s="1048" t="s">
        <v>347</v>
      </c>
      <c r="L2" s="1048" t="s">
        <v>347</v>
      </c>
      <c r="M2" s="1048" t="s">
        <v>347</v>
      </c>
      <c r="N2" s="1048" t="s">
        <v>347</v>
      </c>
      <c r="O2" s="1048" t="s">
        <v>347</v>
      </c>
      <c r="P2" s="1048" t="s">
        <v>347</v>
      </c>
      <c r="Q2" s="1048" t="s">
        <v>347</v>
      </c>
      <c r="R2" s="1048" t="s">
        <v>347</v>
      </c>
      <c r="S2" s="1048" t="s">
        <v>347</v>
      </c>
      <c r="T2" s="1048" t="s">
        <v>347</v>
      </c>
      <c r="U2" s="1048" t="s">
        <v>347</v>
      </c>
      <c r="V2" s="1048" t="s">
        <v>347</v>
      </c>
      <c r="W2" s="1048" t="s">
        <v>347</v>
      </c>
      <c r="X2" s="1117" t="s">
        <v>347</v>
      </c>
      <c r="Y2" s="424" t="s">
        <v>347</v>
      </c>
      <c r="Z2" s="1048" t="s">
        <v>347</v>
      </c>
      <c r="AA2" s="1048" t="s">
        <v>347</v>
      </c>
    </row>
    <row r="3" spans="1:27" ht="14.25">
      <c r="A3" s="149" t="s">
        <v>314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50"/>
      <c r="U3" s="1051"/>
      <c r="V3" s="289"/>
      <c r="W3" s="1049"/>
      <c r="X3" s="1118"/>
      <c r="Y3" s="1122"/>
      <c r="Z3" s="1049"/>
      <c r="AA3" s="1052"/>
    </row>
    <row r="4" spans="1:27" ht="12.75">
      <c r="A4" s="1053" t="s">
        <v>315</v>
      </c>
      <c r="B4" s="1054"/>
      <c r="C4" s="1054"/>
      <c r="D4" s="1054" t="s">
        <v>316</v>
      </c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5"/>
      <c r="U4" s="1056"/>
      <c r="V4" s="77"/>
      <c r="W4" s="1054"/>
      <c r="X4" s="1119"/>
      <c r="Y4" s="283"/>
      <c r="Z4" s="1054"/>
      <c r="AA4" s="1057"/>
    </row>
    <row r="5" spans="1:27" ht="12.75">
      <c r="A5" s="75" t="s">
        <v>317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5"/>
      <c r="U5" s="1056"/>
      <c r="V5" s="77"/>
      <c r="W5" s="1054"/>
      <c r="X5" s="1119"/>
      <c r="Y5" s="283"/>
      <c r="Z5" s="1054"/>
      <c r="AA5" s="1057"/>
    </row>
    <row r="6" spans="1:27" ht="12.75">
      <c r="A6" s="75" t="s">
        <v>318</v>
      </c>
      <c r="B6" s="1054"/>
      <c r="C6" s="1054"/>
      <c r="D6" s="1054"/>
      <c r="E6" s="1054"/>
      <c r="F6" s="1054"/>
      <c r="G6" s="1054"/>
      <c r="H6" s="1054"/>
      <c r="I6" s="1054"/>
      <c r="J6" s="1054"/>
      <c r="K6" s="1054"/>
      <c r="L6" s="1054">
        <v>3</v>
      </c>
      <c r="M6" s="1054"/>
      <c r="N6" s="1054"/>
      <c r="O6" s="1054"/>
      <c r="P6" s="1054">
        <v>458165</v>
      </c>
      <c r="Q6" s="1054"/>
      <c r="R6" s="1054"/>
      <c r="S6" s="1054"/>
      <c r="T6" s="1055"/>
      <c r="U6" s="1056"/>
      <c r="V6" s="77"/>
      <c r="W6" s="1054"/>
      <c r="X6" s="1119"/>
      <c r="Y6" s="283">
        <f aca="true" t="shared" si="0" ref="Y6:Y42">SUM(B6:X6)</f>
        <v>458168</v>
      </c>
      <c r="Z6" s="1054">
        <v>141802519</v>
      </c>
      <c r="AA6" s="1054">
        <f>Y6+Z6</f>
        <v>142260687</v>
      </c>
    </row>
    <row r="7" spans="1:27" ht="12.75">
      <c r="A7" s="75" t="s">
        <v>319</v>
      </c>
      <c r="B7" s="1054"/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5"/>
      <c r="U7" s="1056"/>
      <c r="V7" s="77"/>
      <c r="W7" s="1054"/>
      <c r="X7" s="1119"/>
      <c r="Y7" s="283">
        <f t="shared" si="0"/>
        <v>0</v>
      </c>
      <c r="Z7" s="1054">
        <v>148311</v>
      </c>
      <c r="AA7" s="1054">
        <f aca="true" t="shared" si="1" ref="AA7:AA42">Y7+Z7</f>
        <v>148311</v>
      </c>
    </row>
    <row r="8" spans="1:27" ht="12.75">
      <c r="A8" s="75" t="s">
        <v>320</v>
      </c>
      <c r="B8" s="1054"/>
      <c r="C8" s="1054"/>
      <c r="D8" s="1054"/>
      <c r="E8" s="1054"/>
      <c r="F8" s="1054"/>
      <c r="G8" s="1054"/>
      <c r="H8" s="1054"/>
      <c r="I8" s="1054"/>
      <c r="J8" s="1054"/>
      <c r="K8" s="1054"/>
      <c r="L8" s="1054"/>
      <c r="M8" s="1054"/>
      <c r="N8" s="1054"/>
      <c r="O8" s="1054"/>
      <c r="P8" s="1054"/>
      <c r="Q8" s="1054"/>
      <c r="R8" s="1054"/>
      <c r="S8" s="1054"/>
      <c r="T8" s="1055"/>
      <c r="U8" s="1056"/>
      <c r="V8" s="77"/>
      <c r="W8" s="1054"/>
      <c r="X8" s="1119"/>
      <c r="Y8" s="283">
        <f t="shared" si="0"/>
        <v>0</v>
      </c>
      <c r="Z8" s="1054"/>
      <c r="AA8" s="1054">
        <f t="shared" si="1"/>
        <v>0</v>
      </c>
    </row>
    <row r="9" spans="1:27" ht="12.75">
      <c r="A9" s="75" t="s">
        <v>321</v>
      </c>
      <c r="B9" s="1054">
        <v>1513271</v>
      </c>
      <c r="C9" s="1054">
        <v>17039</v>
      </c>
      <c r="D9" s="1054"/>
      <c r="E9" s="1054">
        <v>3900498</v>
      </c>
      <c r="F9" s="1054">
        <v>162449</v>
      </c>
      <c r="G9" s="1054">
        <v>8203</v>
      </c>
      <c r="H9" s="1054">
        <v>326001</v>
      </c>
      <c r="I9" s="1054">
        <v>79039</v>
      </c>
      <c r="J9" s="1054">
        <v>4337778</v>
      </c>
      <c r="K9" s="1054">
        <v>138170</v>
      </c>
      <c r="L9" s="1054">
        <v>2576130</v>
      </c>
      <c r="M9" s="1054">
        <v>4095870</v>
      </c>
      <c r="N9" s="1054">
        <v>71476</v>
      </c>
      <c r="O9" s="1054">
        <v>85853</v>
      </c>
      <c r="P9" s="1054">
        <v>401373</v>
      </c>
      <c r="Q9" s="1054">
        <v>4060529</v>
      </c>
      <c r="R9" s="1054">
        <v>537250</v>
      </c>
      <c r="S9" s="1054">
        <v>450279</v>
      </c>
      <c r="T9" s="1055"/>
      <c r="U9" s="1056">
        <v>643233</v>
      </c>
      <c r="V9" s="77">
        <v>379677</v>
      </c>
      <c r="W9" s="1054">
        <v>98618</v>
      </c>
      <c r="X9" s="1119">
        <v>3986908</v>
      </c>
      <c r="Y9" s="283">
        <f t="shared" si="0"/>
        <v>27869644</v>
      </c>
      <c r="Z9" s="1054">
        <v>978900574</v>
      </c>
      <c r="AA9" s="1054">
        <f t="shared" si="1"/>
        <v>1006770218</v>
      </c>
    </row>
    <row r="10" spans="1:27" ht="12.75">
      <c r="A10" s="75" t="s">
        <v>322</v>
      </c>
      <c r="B10" s="1054"/>
      <c r="C10" s="1058"/>
      <c r="D10" s="1054"/>
      <c r="E10" s="1054"/>
      <c r="F10" s="1054"/>
      <c r="G10" s="1054"/>
      <c r="H10" s="1054"/>
      <c r="I10" s="1054">
        <v>3818</v>
      </c>
      <c r="J10" s="1054"/>
      <c r="K10" s="1054"/>
      <c r="L10" s="1054"/>
      <c r="M10" s="1054"/>
      <c r="N10" s="1054"/>
      <c r="O10" s="1054"/>
      <c r="P10" s="1054"/>
      <c r="Q10" s="1054"/>
      <c r="R10" s="1054"/>
      <c r="S10" s="1054"/>
      <c r="T10" s="1055"/>
      <c r="U10" s="1056">
        <v>3050250</v>
      </c>
      <c r="V10" s="77"/>
      <c r="W10" s="1054"/>
      <c r="X10" s="1119"/>
      <c r="Y10" s="283">
        <f t="shared" si="0"/>
        <v>3054068</v>
      </c>
      <c r="Z10" s="1054">
        <f>2+47630778+8887983</f>
        <v>56518763</v>
      </c>
      <c r="AA10" s="1054">
        <f t="shared" si="1"/>
        <v>59572831</v>
      </c>
    </row>
    <row r="11" spans="1:27" ht="12.75">
      <c r="A11" s="1053" t="s">
        <v>323</v>
      </c>
      <c r="B11" s="1054"/>
      <c r="C11" s="1054">
        <v>656906</v>
      </c>
      <c r="D11" s="1054"/>
      <c r="E11" s="1054"/>
      <c r="F11" s="1054"/>
      <c r="G11" s="1054"/>
      <c r="H11" s="1054"/>
      <c r="I11" s="1054"/>
      <c r="J11" s="1054">
        <v>710</v>
      </c>
      <c r="K11" s="1054">
        <v>2367</v>
      </c>
      <c r="L11" s="1054"/>
      <c r="M11" s="1054"/>
      <c r="N11" s="1054"/>
      <c r="O11" s="1054"/>
      <c r="P11" s="1054"/>
      <c r="Q11" s="1054"/>
      <c r="R11" s="1054"/>
      <c r="S11" s="1054"/>
      <c r="T11" s="1055"/>
      <c r="U11" s="1056"/>
      <c r="V11" s="77"/>
      <c r="W11" s="1054"/>
      <c r="X11" s="1119"/>
      <c r="Y11" s="283">
        <f t="shared" si="0"/>
        <v>659983</v>
      </c>
      <c r="Z11" s="1054">
        <v>27675554</v>
      </c>
      <c r="AA11" s="1054">
        <f t="shared" si="1"/>
        <v>28335537</v>
      </c>
    </row>
    <row r="12" spans="1:27" ht="12.75">
      <c r="A12" s="1053" t="s">
        <v>324</v>
      </c>
      <c r="B12" s="1054"/>
      <c r="C12" s="1054"/>
      <c r="D12" s="1054"/>
      <c r="E12" s="1054"/>
      <c r="F12" s="1054"/>
      <c r="G12" s="1054"/>
      <c r="H12" s="1054"/>
      <c r="I12" s="1054"/>
      <c r="J12" s="1054"/>
      <c r="K12" s="1054"/>
      <c r="L12" s="1054"/>
      <c r="M12" s="1054"/>
      <c r="N12" s="1054"/>
      <c r="O12" s="1054"/>
      <c r="P12" s="1054"/>
      <c r="Q12" s="1054"/>
      <c r="R12" s="1054"/>
      <c r="S12" s="1054"/>
      <c r="T12" s="1055"/>
      <c r="U12" s="1056"/>
      <c r="V12" s="77"/>
      <c r="W12" s="1054"/>
      <c r="X12" s="1119"/>
      <c r="Y12" s="283"/>
      <c r="Z12" s="1054">
        <v>-130788347</v>
      </c>
      <c r="AA12" s="1054"/>
    </row>
    <row r="13" spans="1:27" ht="14.25">
      <c r="A13" s="107" t="s">
        <v>54</v>
      </c>
      <c r="B13" s="1054">
        <f>B9</f>
        <v>1513271</v>
      </c>
      <c r="C13" s="1058">
        <f>C9+C11</f>
        <v>673945</v>
      </c>
      <c r="D13" s="1054">
        <f>D9+D11</f>
        <v>0</v>
      </c>
      <c r="E13" s="1054">
        <f>E9</f>
        <v>3900498</v>
      </c>
      <c r="F13" s="1054">
        <f>F9</f>
        <v>162449</v>
      </c>
      <c r="G13" s="1054">
        <f>SUM(G5:G11)</f>
        <v>8203</v>
      </c>
      <c r="H13" s="1054">
        <f>SUM(H5:H11)</f>
        <v>326001</v>
      </c>
      <c r="I13" s="1054">
        <f>SUM(I5:I11)</f>
        <v>82857</v>
      </c>
      <c r="J13" s="1054">
        <f>SUM(J5:J11)</f>
        <v>4338488</v>
      </c>
      <c r="K13" s="1054">
        <v>140537</v>
      </c>
      <c r="L13" s="1054">
        <f>SUM(L5:L11)</f>
        <v>2576133</v>
      </c>
      <c r="M13" s="1054">
        <f>SUM(M5:M11)</f>
        <v>4095870</v>
      </c>
      <c r="N13" s="1054">
        <f>SUM(N5:N11)</f>
        <v>71476</v>
      </c>
      <c r="O13" s="1054">
        <f>SUM(O5:O11)</f>
        <v>85853</v>
      </c>
      <c r="P13" s="1054">
        <f>SUM(P5:P11)</f>
        <v>859538</v>
      </c>
      <c r="Q13" s="1054">
        <f>Q9</f>
        <v>4060529</v>
      </c>
      <c r="R13" s="1054">
        <f>R9</f>
        <v>537250</v>
      </c>
      <c r="S13" s="1054">
        <f>SUM(S5:S11)</f>
        <v>450279</v>
      </c>
      <c r="T13" s="1055"/>
      <c r="U13" s="1056">
        <f>SUM(U5:U11)</f>
        <v>3693483</v>
      </c>
      <c r="V13" s="77">
        <f>SUM(V5:V11)</f>
        <v>379677</v>
      </c>
      <c r="W13" s="1054">
        <f>SUM(W5:W11)</f>
        <v>98618</v>
      </c>
      <c r="X13" s="1119">
        <f>X9</f>
        <v>3986908</v>
      </c>
      <c r="Y13" s="283">
        <f t="shared" si="0"/>
        <v>32041863</v>
      </c>
      <c r="Z13" s="1054">
        <f>SUM(Z5:Z12)</f>
        <v>1074257374</v>
      </c>
      <c r="AA13" s="1054">
        <f t="shared" si="1"/>
        <v>1106299237</v>
      </c>
    </row>
    <row r="14" spans="1:27" ht="14.25">
      <c r="A14" s="107" t="s">
        <v>325</v>
      </c>
      <c r="B14" s="1054"/>
      <c r="C14" s="1054"/>
      <c r="D14" s="1054"/>
      <c r="E14" s="1054"/>
      <c r="F14" s="1054"/>
      <c r="G14" s="1054"/>
      <c r="H14" s="1054"/>
      <c r="I14" s="1054"/>
      <c r="J14" s="1054"/>
      <c r="K14" s="1054"/>
      <c r="L14" s="1054"/>
      <c r="M14" s="1054"/>
      <c r="N14" s="1054"/>
      <c r="O14" s="1054"/>
      <c r="P14" s="1054"/>
      <c r="Q14" s="1054"/>
      <c r="R14" s="1054"/>
      <c r="S14" s="1054"/>
      <c r="T14" s="1055"/>
      <c r="U14" s="1056"/>
      <c r="V14" s="77"/>
      <c r="W14" s="1054"/>
      <c r="X14" s="1119"/>
      <c r="Y14" s="283">
        <f t="shared" si="0"/>
        <v>0</v>
      </c>
      <c r="Z14" s="1054"/>
      <c r="AA14" s="1054">
        <f t="shared" si="1"/>
        <v>0</v>
      </c>
    </row>
    <row r="15" spans="1:27" ht="12.75">
      <c r="A15" s="75" t="s">
        <v>326</v>
      </c>
      <c r="B15" s="1054"/>
      <c r="C15" s="1054"/>
      <c r="D15" s="1054"/>
      <c r="E15" s="1054"/>
      <c r="F15" s="1054"/>
      <c r="G15" s="1054"/>
      <c r="H15" s="1054"/>
      <c r="I15" s="1054"/>
      <c r="J15" s="1054"/>
      <c r="K15" s="1054"/>
      <c r="L15" s="1054"/>
      <c r="M15" s="1054"/>
      <c r="N15" s="1054"/>
      <c r="O15" s="1054"/>
      <c r="P15" s="1054"/>
      <c r="Q15" s="1054"/>
      <c r="R15" s="1054"/>
      <c r="S15" s="1054"/>
      <c r="T15" s="1055"/>
      <c r="U15" s="1056"/>
      <c r="V15" s="77"/>
      <c r="W15" s="1054"/>
      <c r="X15" s="1119"/>
      <c r="Y15" s="283">
        <f t="shared" si="0"/>
        <v>0</v>
      </c>
      <c r="Z15" s="1054">
        <v>29061033</v>
      </c>
      <c r="AA15" s="1054">
        <f t="shared" si="1"/>
        <v>29061033</v>
      </c>
    </row>
    <row r="16" spans="1:27" ht="12.75">
      <c r="A16" s="75" t="s">
        <v>327</v>
      </c>
      <c r="B16" s="1054"/>
      <c r="C16" s="1058"/>
      <c r="D16" s="1054"/>
      <c r="E16" s="1054"/>
      <c r="F16" s="1054"/>
      <c r="G16" s="1054"/>
      <c r="H16" s="1054"/>
      <c r="I16" s="1054"/>
      <c r="J16" s="1054"/>
      <c r="K16" s="1054"/>
      <c r="L16" s="1054"/>
      <c r="M16" s="1054"/>
      <c r="N16" s="1054"/>
      <c r="O16" s="1054"/>
      <c r="P16" s="1054"/>
      <c r="Q16" s="1054"/>
      <c r="R16" s="1054"/>
      <c r="S16" s="1054"/>
      <c r="T16" s="1055"/>
      <c r="U16" s="1056">
        <v>3050250</v>
      </c>
      <c r="V16" s="77"/>
      <c r="W16" s="1054"/>
      <c r="X16" s="1119"/>
      <c r="Y16" s="283">
        <f t="shared" si="0"/>
        <v>3050250</v>
      </c>
      <c r="Z16" s="1054"/>
      <c r="AA16" s="1054">
        <f t="shared" si="1"/>
        <v>3050250</v>
      </c>
    </row>
    <row r="17" spans="1:27" ht="12.75">
      <c r="A17" s="75" t="s">
        <v>328</v>
      </c>
      <c r="B17" s="1054"/>
      <c r="C17" s="1054"/>
      <c r="D17" s="1054"/>
      <c r="E17" s="1054"/>
      <c r="F17" s="1054"/>
      <c r="G17" s="1054"/>
      <c r="H17" s="1054"/>
      <c r="I17" s="1054"/>
      <c r="J17" s="1054"/>
      <c r="K17" s="1054"/>
      <c r="L17" s="1054"/>
      <c r="M17" s="1054"/>
      <c r="N17" s="1054"/>
      <c r="O17" s="1054"/>
      <c r="P17" s="1054"/>
      <c r="Q17" s="1054"/>
      <c r="R17" s="1054"/>
      <c r="S17" s="1054"/>
      <c r="T17" s="1055"/>
      <c r="U17" s="1056"/>
      <c r="V17" s="77"/>
      <c r="W17" s="1054"/>
      <c r="X17" s="1119"/>
      <c r="Y17" s="283">
        <f t="shared" si="0"/>
        <v>0</v>
      </c>
      <c r="Z17" s="1054"/>
      <c r="AA17" s="1054">
        <f t="shared" si="1"/>
        <v>0</v>
      </c>
    </row>
    <row r="18" spans="1:27" ht="12.75">
      <c r="A18" s="75" t="s">
        <v>329</v>
      </c>
      <c r="B18" s="1054"/>
      <c r="C18" s="1054"/>
      <c r="D18" s="1054"/>
      <c r="E18" s="1054"/>
      <c r="F18" s="1054"/>
      <c r="G18" s="1054"/>
      <c r="H18" s="1054"/>
      <c r="I18" s="1054"/>
      <c r="J18" s="1054"/>
      <c r="K18" s="1054"/>
      <c r="L18" s="1054"/>
      <c r="M18" s="1054"/>
      <c r="N18" s="1054"/>
      <c r="O18" s="1054"/>
      <c r="P18" s="1054">
        <v>458165</v>
      </c>
      <c r="Q18" s="1054"/>
      <c r="R18" s="1054"/>
      <c r="S18" s="1054"/>
      <c r="T18" s="1055"/>
      <c r="U18" s="1056"/>
      <c r="V18" s="77"/>
      <c r="W18" s="1054"/>
      <c r="X18" s="1119"/>
      <c r="Y18" s="283">
        <f t="shared" si="0"/>
        <v>458165</v>
      </c>
      <c r="Z18" s="1054">
        <v>144793762</v>
      </c>
      <c r="AA18" s="1054">
        <f t="shared" si="1"/>
        <v>145251927</v>
      </c>
    </row>
    <row r="19" spans="1:27" ht="12.75">
      <c r="A19" s="75" t="s">
        <v>330</v>
      </c>
      <c r="B19" s="1054">
        <f>B9</f>
        <v>1513271</v>
      </c>
      <c r="C19" s="1054">
        <v>17039</v>
      </c>
      <c r="D19" s="1054"/>
      <c r="E19" s="1054">
        <f>E9</f>
        <v>3900498</v>
      </c>
      <c r="F19" s="1054">
        <f>F9</f>
        <v>162449</v>
      </c>
      <c r="G19" s="1054">
        <f>G9</f>
        <v>8203</v>
      </c>
      <c r="H19" s="1054">
        <v>326001</v>
      </c>
      <c r="I19" s="1054">
        <f>I9</f>
        <v>79039</v>
      </c>
      <c r="J19" s="1054">
        <v>4337778</v>
      </c>
      <c r="K19" s="1054">
        <v>138170</v>
      </c>
      <c r="L19" s="1054">
        <v>2576130</v>
      </c>
      <c r="M19" s="1054">
        <f>M13</f>
        <v>4095870</v>
      </c>
      <c r="N19" s="1054">
        <f>N13</f>
        <v>71476</v>
      </c>
      <c r="O19" s="1054">
        <f>O13</f>
        <v>85853</v>
      </c>
      <c r="P19" s="1054">
        <v>401373</v>
      </c>
      <c r="Q19" s="1054">
        <f>Q13</f>
        <v>4060529</v>
      </c>
      <c r="R19" s="1054">
        <f>R9</f>
        <v>537250</v>
      </c>
      <c r="S19" s="1054">
        <f>S13</f>
        <v>450279</v>
      </c>
      <c r="T19" s="1055"/>
      <c r="U19" s="1056">
        <v>643233</v>
      </c>
      <c r="V19" s="77"/>
      <c r="W19" s="1054">
        <f>W13</f>
        <v>98618</v>
      </c>
      <c r="X19" s="1119">
        <f>X9</f>
        <v>3986908</v>
      </c>
      <c r="Y19" s="283">
        <f t="shared" si="0"/>
        <v>27489967</v>
      </c>
      <c r="Z19" s="1054">
        <v>978900574</v>
      </c>
      <c r="AA19" s="1054">
        <f t="shared" si="1"/>
        <v>1006390541</v>
      </c>
    </row>
    <row r="20" spans="1:27" ht="12.75">
      <c r="A20" s="75" t="s">
        <v>331</v>
      </c>
      <c r="B20" s="1054"/>
      <c r="C20" s="1054">
        <v>656906</v>
      </c>
      <c r="D20" s="1054"/>
      <c r="E20" s="1054"/>
      <c r="F20" s="1054"/>
      <c r="G20" s="1054"/>
      <c r="H20" s="1054"/>
      <c r="I20" s="1054">
        <f>I10</f>
        <v>3818</v>
      </c>
      <c r="J20" s="1054">
        <v>710</v>
      </c>
      <c r="K20" s="1054">
        <v>2367</v>
      </c>
      <c r="L20" s="1054">
        <v>3</v>
      </c>
      <c r="M20" s="1054"/>
      <c r="N20" s="1054"/>
      <c r="O20" s="1054"/>
      <c r="P20" s="1054"/>
      <c r="Q20" s="1054"/>
      <c r="R20" s="1054"/>
      <c r="S20" s="1054"/>
      <c r="T20" s="1055"/>
      <c r="U20" s="1056"/>
      <c r="V20" s="77"/>
      <c r="W20" s="1054"/>
      <c r="X20" s="1119"/>
      <c r="Y20" s="283">
        <f t="shared" si="0"/>
        <v>663804</v>
      </c>
      <c r="Z20" s="1054">
        <f>3615533+708801+19828293+4212268+999996+22925397+64</f>
        <v>52290352</v>
      </c>
      <c r="AA20" s="1054">
        <f t="shared" si="1"/>
        <v>52954156</v>
      </c>
    </row>
    <row r="21" spans="1:27" ht="12.75">
      <c r="A21" s="1053" t="s">
        <v>324</v>
      </c>
      <c r="B21" s="1054"/>
      <c r="C21" s="1054"/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4"/>
      <c r="P21" s="1054"/>
      <c r="Q21" s="1054"/>
      <c r="R21" s="1054"/>
      <c r="S21" s="1054"/>
      <c r="T21" s="1055"/>
      <c r="U21" s="1056"/>
      <c r="V21" s="77"/>
      <c r="W21" s="1054"/>
      <c r="X21" s="1119"/>
      <c r="Y21" s="283"/>
      <c r="Z21" s="1054">
        <v>-130788347</v>
      </c>
      <c r="AA21" s="1054"/>
    </row>
    <row r="22" spans="1:27" ht="14.25">
      <c r="A22" s="107" t="s">
        <v>54</v>
      </c>
      <c r="B22" s="1054">
        <f>B9</f>
        <v>1513271</v>
      </c>
      <c r="C22" s="1058">
        <f>C19+C20</f>
        <v>673945</v>
      </c>
      <c r="D22" s="1054"/>
      <c r="E22" s="1054">
        <f>E19</f>
        <v>3900498</v>
      </c>
      <c r="F22" s="1054">
        <f>F9</f>
        <v>162449</v>
      </c>
      <c r="G22" s="1054">
        <f>G13</f>
        <v>8203</v>
      </c>
      <c r="H22" s="1054">
        <f>H19</f>
        <v>326001</v>
      </c>
      <c r="I22" s="1054">
        <f>I13</f>
        <v>82857</v>
      </c>
      <c r="J22" s="1054">
        <f>J13</f>
        <v>4338488</v>
      </c>
      <c r="K22" s="1054">
        <v>140537</v>
      </c>
      <c r="L22" s="1054">
        <v>2576133</v>
      </c>
      <c r="M22" s="1054">
        <f>M13</f>
        <v>4095870</v>
      </c>
      <c r="N22" s="1054">
        <f>N19</f>
        <v>71476</v>
      </c>
      <c r="O22" s="1054">
        <f>O19</f>
        <v>85853</v>
      </c>
      <c r="P22" s="1054">
        <f>P13</f>
        <v>859538</v>
      </c>
      <c r="Q22" s="1054">
        <f>Q19</f>
        <v>4060529</v>
      </c>
      <c r="R22" s="1054">
        <f>R9</f>
        <v>537250</v>
      </c>
      <c r="S22" s="1054">
        <f>S19</f>
        <v>450279</v>
      </c>
      <c r="T22" s="1055"/>
      <c r="U22" s="1056">
        <f>U13</f>
        <v>3693483</v>
      </c>
      <c r="V22" s="77">
        <f>V9</f>
        <v>379677</v>
      </c>
      <c r="W22" s="1054">
        <f>W19</f>
        <v>98618</v>
      </c>
      <c r="X22" s="1119">
        <f>X9</f>
        <v>3986908</v>
      </c>
      <c r="Y22" s="283">
        <f t="shared" si="0"/>
        <v>32041863</v>
      </c>
      <c r="Z22" s="1054">
        <v>1074257374</v>
      </c>
      <c r="AA22" s="1054">
        <f t="shared" si="1"/>
        <v>1106299237</v>
      </c>
    </row>
    <row r="23" spans="1:27" ht="14.25">
      <c r="A23" s="107" t="s">
        <v>332</v>
      </c>
      <c r="B23" s="1054"/>
      <c r="C23" s="1054"/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  <c r="Q23" s="1054"/>
      <c r="R23" s="1054"/>
      <c r="S23" s="1054"/>
      <c r="T23" s="1055"/>
      <c r="U23" s="1056"/>
      <c r="V23" s="77"/>
      <c r="W23" s="1054"/>
      <c r="X23" s="1119"/>
      <c r="Y23" s="283">
        <f t="shared" si="0"/>
        <v>0</v>
      </c>
      <c r="Z23" s="1054"/>
      <c r="AA23" s="1054">
        <f t="shared" si="1"/>
        <v>0</v>
      </c>
    </row>
    <row r="24" spans="1:27" ht="12.75">
      <c r="A24" s="75" t="s">
        <v>333</v>
      </c>
      <c r="B24" s="1054"/>
      <c r="C24" s="1054"/>
      <c r="D24" s="1054"/>
      <c r="E24" s="1054"/>
      <c r="F24" s="1054"/>
      <c r="G24" s="1054"/>
      <c r="H24" s="1054"/>
      <c r="I24" s="1054"/>
      <c r="J24" s="1054"/>
      <c r="K24" s="1054"/>
      <c r="L24" s="1054"/>
      <c r="M24" s="1054"/>
      <c r="N24" s="1054"/>
      <c r="O24" s="1054"/>
      <c r="P24" s="1054"/>
      <c r="Q24" s="1054"/>
      <c r="R24" s="1054"/>
      <c r="S24" s="1054"/>
      <c r="T24" s="1055"/>
      <c r="U24" s="1056"/>
      <c r="V24" s="77"/>
      <c r="W24" s="1054"/>
      <c r="X24" s="1119"/>
      <c r="Y24" s="283">
        <f t="shared" si="0"/>
        <v>0</v>
      </c>
      <c r="Z24" s="1054"/>
      <c r="AA24" s="1054">
        <f t="shared" si="1"/>
        <v>0</v>
      </c>
    </row>
    <row r="25" spans="1:27" ht="12.75">
      <c r="A25" s="75" t="s">
        <v>334</v>
      </c>
      <c r="B25" s="1054">
        <f>B9</f>
        <v>1513271</v>
      </c>
      <c r="C25" s="1058">
        <f>C22</f>
        <v>673945</v>
      </c>
      <c r="D25" s="1054"/>
      <c r="E25" s="1054">
        <f>E22</f>
        <v>3900498</v>
      </c>
      <c r="F25" s="1054">
        <f>F9</f>
        <v>162449</v>
      </c>
      <c r="G25" s="1054">
        <v>8203</v>
      </c>
      <c r="H25" s="1054">
        <f>H19</f>
        <v>326001</v>
      </c>
      <c r="I25" s="1054">
        <f>I22</f>
        <v>82857</v>
      </c>
      <c r="J25" s="1054">
        <f>J22</f>
        <v>4338488</v>
      </c>
      <c r="K25" s="1054">
        <v>138170</v>
      </c>
      <c r="L25" s="1054">
        <f aca="true" t="shared" si="2" ref="L25:Q25">L22</f>
        <v>2576133</v>
      </c>
      <c r="M25" s="1054">
        <f t="shared" si="2"/>
        <v>4095870</v>
      </c>
      <c r="N25" s="1054">
        <f t="shared" si="2"/>
        <v>71476</v>
      </c>
      <c r="O25" s="1054">
        <f t="shared" si="2"/>
        <v>85853</v>
      </c>
      <c r="P25" s="1054">
        <f t="shared" si="2"/>
        <v>859538</v>
      </c>
      <c r="Q25" s="1054">
        <f t="shared" si="2"/>
        <v>4060529</v>
      </c>
      <c r="R25" s="1054">
        <f>R9</f>
        <v>537250</v>
      </c>
      <c r="S25" s="1054">
        <f>S22</f>
        <v>450279</v>
      </c>
      <c r="T25" s="1055"/>
      <c r="U25" s="1056">
        <f>U22</f>
        <v>3693483</v>
      </c>
      <c r="V25" s="77">
        <f>V9</f>
        <v>379677</v>
      </c>
      <c r="W25" s="1054">
        <f>W22</f>
        <v>98618</v>
      </c>
      <c r="X25" s="1119">
        <f>X9</f>
        <v>3986908</v>
      </c>
      <c r="Y25" s="283">
        <f t="shared" si="0"/>
        <v>32039496</v>
      </c>
      <c r="Z25" s="1054">
        <v>1067460929</v>
      </c>
      <c r="AA25" s="1054">
        <f t="shared" si="1"/>
        <v>1099500425</v>
      </c>
    </row>
    <row r="26" spans="1:27" ht="12.75">
      <c r="A26" s="75" t="s">
        <v>335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5"/>
      <c r="U26" s="1056"/>
      <c r="V26" s="77"/>
      <c r="W26" s="1054"/>
      <c r="X26" s="1119"/>
      <c r="Y26" s="283">
        <f t="shared" si="0"/>
        <v>0</v>
      </c>
      <c r="Z26" s="1054">
        <v>1766707</v>
      </c>
      <c r="AA26" s="1054">
        <f t="shared" si="1"/>
        <v>1766707</v>
      </c>
    </row>
    <row r="27" spans="1:27" ht="12.75">
      <c r="A27" s="1053" t="s">
        <v>336</v>
      </c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5"/>
      <c r="U27" s="1056"/>
      <c r="V27" s="77"/>
      <c r="W27" s="1054"/>
      <c r="X27" s="1119"/>
      <c r="Y27" s="283"/>
      <c r="Z27" s="1054">
        <v>-4271219</v>
      </c>
      <c r="AA27" s="1054"/>
    </row>
    <row r="28" spans="1:27" ht="12.75">
      <c r="A28" s="75" t="s">
        <v>337</v>
      </c>
      <c r="B28" s="1054"/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5"/>
      <c r="U28" s="1056"/>
      <c r="V28" s="77"/>
      <c r="W28" s="1054"/>
      <c r="X28" s="1119"/>
      <c r="Y28" s="283">
        <f t="shared" si="0"/>
        <v>0</v>
      </c>
      <c r="Z28" s="1054"/>
      <c r="AA28" s="1054">
        <f t="shared" si="1"/>
        <v>0</v>
      </c>
    </row>
    <row r="29" spans="1:27" ht="12.75">
      <c r="A29" s="75" t="s">
        <v>334</v>
      </c>
      <c r="B29" s="1054"/>
      <c r="C29" s="1054"/>
      <c r="D29" s="1054"/>
      <c r="E29" s="1054"/>
      <c r="F29" s="1054"/>
      <c r="G29" s="1054"/>
      <c r="H29" s="1054"/>
      <c r="I29" s="1054"/>
      <c r="J29" s="1054"/>
      <c r="K29" s="1054">
        <v>2367</v>
      </c>
      <c r="L29" s="1054"/>
      <c r="M29" s="1054"/>
      <c r="N29" s="1054"/>
      <c r="O29" s="1054"/>
      <c r="P29" s="1054"/>
      <c r="Q29" s="1054"/>
      <c r="R29" s="1054"/>
      <c r="S29" s="1054"/>
      <c r="T29" s="1055"/>
      <c r="U29" s="1056"/>
      <c r="V29" s="77"/>
      <c r="W29" s="1054"/>
      <c r="X29" s="1119"/>
      <c r="Y29" s="283">
        <f t="shared" si="0"/>
        <v>2367</v>
      </c>
      <c r="Z29" s="1054">
        <v>135692021</v>
      </c>
      <c r="AA29" s="1054">
        <f t="shared" si="1"/>
        <v>135694388</v>
      </c>
    </row>
    <row r="30" spans="1:27" ht="12.75">
      <c r="A30" s="75" t="s">
        <v>338</v>
      </c>
      <c r="B30" s="1054"/>
      <c r="C30" s="1054"/>
      <c r="D30" s="1054"/>
      <c r="E30" s="1054"/>
      <c r="F30" s="1054"/>
      <c r="G30" s="1054"/>
      <c r="H30" s="1054"/>
      <c r="I30" s="1054"/>
      <c r="J30" s="1054"/>
      <c r="K30" s="1054"/>
      <c r="L30" s="1054"/>
      <c r="M30" s="1054"/>
      <c r="N30" s="1054"/>
      <c r="O30" s="1054"/>
      <c r="P30" s="1054"/>
      <c r="Q30" s="1054"/>
      <c r="R30" s="1054"/>
      <c r="S30" s="1054"/>
      <c r="T30" s="1055"/>
      <c r="U30" s="1056"/>
      <c r="V30" s="77"/>
      <c r="W30" s="1054"/>
      <c r="X30" s="1119"/>
      <c r="Y30" s="283">
        <f t="shared" si="0"/>
        <v>0</v>
      </c>
      <c r="Z30" s="1054">
        <v>126064</v>
      </c>
      <c r="AA30" s="1054">
        <f t="shared" si="1"/>
        <v>126064</v>
      </c>
    </row>
    <row r="31" spans="1:27" ht="12.75">
      <c r="A31" s="1053" t="s">
        <v>339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5"/>
      <c r="U31" s="1056"/>
      <c r="V31" s="77"/>
      <c r="W31" s="1054"/>
      <c r="X31" s="1119"/>
      <c r="Y31" s="283"/>
      <c r="Z31" s="1054">
        <v>-126517128</v>
      </c>
      <c r="AA31" s="1054"/>
    </row>
    <row r="32" spans="1:27" ht="14.25">
      <c r="A32" s="107" t="s">
        <v>54</v>
      </c>
      <c r="B32" s="1054">
        <f>B25</f>
        <v>1513271</v>
      </c>
      <c r="C32" s="1058">
        <f>C25</f>
        <v>673945</v>
      </c>
      <c r="D32" s="1054"/>
      <c r="E32" s="1054">
        <f>E25</f>
        <v>3900498</v>
      </c>
      <c r="F32" s="1054">
        <f>F9</f>
        <v>162449</v>
      </c>
      <c r="G32" s="1054">
        <f>G25</f>
        <v>8203</v>
      </c>
      <c r="H32" s="1054">
        <f>H25</f>
        <v>326001</v>
      </c>
      <c r="I32" s="1054">
        <f>I25</f>
        <v>82857</v>
      </c>
      <c r="J32" s="1054">
        <f>J25</f>
        <v>4338488</v>
      </c>
      <c r="K32" s="1054">
        <f>K22</f>
        <v>140537</v>
      </c>
      <c r="L32" s="1054">
        <f aca="true" t="shared" si="3" ref="L32:Q32">L25</f>
        <v>2576133</v>
      </c>
      <c r="M32" s="1054">
        <f t="shared" si="3"/>
        <v>4095870</v>
      </c>
      <c r="N32" s="1054">
        <f t="shared" si="3"/>
        <v>71476</v>
      </c>
      <c r="O32" s="1054">
        <f t="shared" si="3"/>
        <v>85853</v>
      </c>
      <c r="P32" s="1054">
        <f t="shared" si="3"/>
        <v>859538</v>
      </c>
      <c r="Q32" s="1054">
        <f t="shared" si="3"/>
        <v>4060529</v>
      </c>
      <c r="R32" s="1054">
        <f>R9</f>
        <v>537250</v>
      </c>
      <c r="S32" s="1054">
        <f>S25</f>
        <v>450279</v>
      </c>
      <c r="T32" s="1055"/>
      <c r="U32" s="1056">
        <f>U25</f>
        <v>3693483</v>
      </c>
      <c r="V32" s="77">
        <f>V9</f>
        <v>379677</v>
      </c>
      <c r="W32" s="1054">
        <f>W25</f>
        <v>98618</v>
      </c>
      <c r="X32" s="1119">
        <f>X9</f>
        <v>3986908</v>
      </c>
      <c r="Y32" s="283">
        <f t="shared" si="0"/>
        <v>32041863</v>
      </c>
      <c r="Z32" s="1054">
        <v>1074257374</v>
      </c>
      <c r="AA32" s="1054">
        <f t="shared" si="1"/>
        <v>1106299237</v>
      </c>
    </row>
    <row r="33" spans="1:27" ht="14.25">
      <c r="A33" s="107" t="s">
        <v>340</v>
      </c>
      <c r="B33" s="1054"/>
      <c r="C33" s="1054"/>
      <c r="D33" s="1054"/>
      <c r="E33" s="1054"/>
      <c r="F33" s="1054"/>
      <c r="G33" s="1054"/>
      <c r="H33" s="1054"/>
      <c r="I33" s="1054"/>
      <c r="J33" s="1054"/>
      <c r="K33" s="1054"/>
      <c r="L33" s="1054"/>
      <c r="M33" s="1054"/>
      <c r="N33" s="1054"/>
      <c r="O33" s="1054"/>
      <c r="P33" s="1054"/>
      <c r="Q33" s="1054"/>
      <c r="R33" s="1054"/>
      <c r="S33" s="1054"/>
      <c r="T33" s="1055"/>
      <c r="U33" s="1056"/>
      <c r="V33" s="77"/>
      <c r="W33" s="1054"/>
      <c r="X33" s="1119"/>
      <c r="Y33" s="283">
        <f t="shared" si="0"/>
        <v>0</v>
      </c>
      <c r="Z33" s="1054"/>
      <c r="AA33" s="1054">
        <f t="shared" si="1"/>
        <v>0</v>
      </c>
    </row>
    <row r="34" spans="1:27" ht="12.75">
      <c r="A34" s="75" t="s">
        <v>341</v>
      </c>
      <c r="B34" s="1054">
        <v>8674</v>
      </c>
      <c r="C34" s="1054"/>
      <c r="D34" s="1054"/>
      <c r="E34" s="1054">
        <v>234062</v>
      </c>
      <c r="F34" s="1054"/>
      <c r="G34" s="1054"/>
      <c r="H34" s="1054">
        <v>616</v>
      </c>
      <c r="I34" s="1054"/>
      <c r="J34" s="1054">
        <v>297509</v>
      </c>
      <c r="K34" s="1054">
        <v>2367</v>
      </c>
      <c r="L34" s="1054">
        <v>600775</v>
      </c>
      <c r="M34" s="1054">
        <v>65739</v>
      </c>
      <c r="N34" s="1054"/>
      <c r="O34" s="1054"/>
      <c r="P34" s="1054">
        <v>38169</v>
      </c>
      <c r="Q34" s="1054">
        <v>41907</v>
      </c>
      <c r="R34" s="1054">
        <v>52940</v>
      </c>
      <c r="S34" s="1054">
        <v>11627</v>
      </c>
      <c r="T34" s="1055"/>
      <c r="U34" s="1056">
        <v>221476</v>
      </c>
      <c r="V34" s="77">
        <v>7396</v>
      </c>
      <c r="W34" s="1054">
        <v>5850</v>
      </c>
      <c r="X34" s="1119"/>
      <c r="Y34" s="283">
        <f t="shared" si="0"/>
        <v>1589107</v>
      </c>
      <c r="Z34" s="1054">
        <v>109367000</v>
      </c>
      <c r="AA34" s="1054">
        <f t="shared" si="1"/>
        <v>110956107</v>
      </c>
    </row>
    <row r="35" spans="1:27" ht="12.75">
      <c r="A35" s="75" t="s">
        <v>342</v>
      </c>
      <c r="B35" s="1059"/>
      <c r="C35" s="1059"/>
      <c r="D35" s="1059"/>
      <c r="E35" s="1059"/>
      <c r="F35" s="1059"/>
      <c r="G35" s="1059"/>
      <c r="H35" s="1059"/>
      <c r="I35" s="1059"/>
      <c r="J35" s="1059"/>
      <c r="K35" s="1059"/>
      <c r="L35" s="1059"/>
      <c r="M35" s="1059"/>
      <c r="N35" s="1059"/>
      <c r="O35" s="1059"/>
      <c r="P35" s="1059"/>
      <c r="Q35" s="1059"/>
      <c r="R35" s="1059"/>
      <c r="S35" s="1059"/>
      <c r="T35" s="1060"/>
      <c r="U35" s="1061"/>
      <c r="V35" s="1062"/>
      <c r="W35" s="1059"/>
      <c r="X35" s="1120"/>
      <c r="Y35" s="283"/>
      <c r="Z35" s="1059">
        <v>139526454</v>
      </c>
      <c r="AA35" s="1054"/>
    </row>
    <row r="36" spans="1:27" ht="12.75">
      <c r="A36" s="75" t="s">
        <v>343</v>
      </c>
      <c r="B36" s="1059"/>
      <c r="C36" s="1059"/>
      <c r="D36" s="1059"/>
      <c r="E36" s="1059"/>
      <c r="F36" s="1059"/>
      <c r="G36" s="1059"/>
      <c r="H36" s="1059"/>
      <c r="I36" s="1059"/>
      <c r="J36" s="1059"/>
      <c r="K36" s="1059"/>
      <c r="L36" s="1059"/>
      <c r="M36" s="1059"/>
      <c r="N36" s="1059"/>
      <c r="O36" s="1059"/>
      <c r="P36" s="1059"/>
      <c r="Q36" s="1059"/>
      <c r="R36" s="1059"/>
      <c r="S36" s="1059"/>
      <c r="T36" s="1060"/>
      <c r="U36" s="1061"/>
      <c r="V36" s="1062"/>
      <c r="W36" s="1059"/>
      <c r="X36" s="1120"/>
      <c r="Y36" s="283"/>
      <c r="Z36" s="1059">
        <v>6339</v>
      </c>
      <c r="AA36" s="1054"/>
    </row>
    <row r="37" spans="1:27" ht="12.75">
      <c r="A37" s="188" t="s">
        <v>344</v>
      </c>
      <c r="B37" s="1059"/>
      <c r="C37" s="1059"/>
      <c r="D37" s="1059"/>
      <c r="E37" s="1059"/>
      <c r="F37" s="1059"/>
      <c r="G37" s="1059"/>
      <c r="H37" s="1059"/>
      <c r="I37" s="1059"/>
      <c r="J37" s="1059"/>
      <c r="K37" s="1059"/>
      <c r="L37" s="1059"/>
      <c r="M37" s="1059"/>
      <c r="N37" s="1059"/>
      <c r="O37" s="1059"/>
      <c r="P37" s="1059"/>
      <c r="Q37" s="1059"/>
      <c r="R37" s="1059"/>
      <c r="S37" s="1059"/>
      <c r="T37" s="1060"/>
      <c r="U37" s="1061"/>
      <c r="V37" s="1062"/>
      <c r="W37" s="1059"/>
      <c r="X37" s="1120"/>
      <c r="Y37" s="283"/>
      <c r="Z37" s="1059">
        <v>-30165793</v>
      </c>
      <c r="AA37" s="1054"/>
    </row>
    <row r="38" spans="1:27" ht="12.75">
      <c r="A38" s="188" t="s">
        <v>345</v>
      </c>
      <c r="B38" s="1059">
        <v>1504597</v>
      </c>
      <c r="C38" s="1063">
        <f>C32</f>
        <v>673945</v>
      </c>
      <c r="D38" s="1059"/>
      <c r="E38" s="1059">
        <v>3666436</v>
      </c>
      <c r="F38" s="1059">
        <f>F9</f>
        <v>162449</v>
      </c>
      <c r="G38" s="1059">
        <v>8203</v>
      </c>
      <c r="H38" s="1059">
        <v>325384</v>
      </c>
      <c r="I38" s="1059">
        <f>I32</f>
        <v>82857</v>
      </c>
      <c r="J38" s="1059">
        <v>4040979</v>
      </c>
      <c r="K38" s="1059">
        <v>138170</v>
      </c>
      <c r="L38" s="1059">
        <v>1975358</v>
      </c>
      <c r="M38" s="1059">
        <v>4030131</v>
      </c>
      <c r="N38" s="1059">
        <f>N32</f>
        <v>71476</v>
      </c>
      <c r="O38" s="1059">
        <f>O32</f>
        <v>85853</v>
      </c>
      <c r="P38" s="1059">
        <v>821369</v>
      </c>
      <c r="Q38" s="1059">
        <v>4018622</v>
      </c>
      <c r="R38" s="1059">
        <v>484310</v>
      </c>
      <c r="S38" s="1059">
        <v>438652</v>
      </c>
      <c r="T38" s="1060"/>
      <c r="U38" s="1061">
        <v>3472007</v>
      </c>
      <c r="V38" s="1062">
        <v>372281</v>
      </c>
      <c r="W38" s="1059">
        <v>92768</v>
      </c>
      <c r="X38" s="1120">
        <f>X9</f>
        <v>3986908</v>
      </c>
      <c r="Y38" s="283">
        <f t="shared" si="0"/>
        <v>30452755</v>
      </c>
      <c r="Z38" s="1059">
        <v>964890374</v>
      </c>
      <c r="AA38" s="1054">
        <f t="shared" si="1"/>
        <v>995343129</v>
      </c>
    </row>
    <row r="39" spans="1:27" ht="12.75">
      <c r="A39" s="75" t="s">
        <v>342</v>
      </c>
      <c r="B39" s="143"/>
      <c r="C39" s="1064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065"/>
      <c r="U39" s="280"/>
      <c r="V39" s="1066"/>
      <c r="W39" s="143"/>
      <c r="X39" s="119"/>
      <c r="Y39" s="283"/>
      <c r="Z39" s="143">
        <v>1063626496</v>
      </c>
      <c r="AA39" s="1054"/>
    </row>
    <row r="40" spans="1:27" ht="12.75">
      <c r="A40" s="75" t="s">
        <v>343</v>
      </c>
      <c r="B40" s="143"/>
      <c r="C40" s="1064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065"/>
      <c r="U40" s="280"/>
      <c r="V40" s="1066"/>
      <c r="W40" s="143"/>
      <c r="X40" s="119"/>
      <c r="Y40" s="283"/>
      <c r="Z40" s="143">
        <v>1886432</v>
      </c>
      <c r="AA40" s="1054"/>
    </row>
    <row r="41" spans="1:27" ht="13.5" thickBot="1">
      <c r="A41" s="188" t="s">
        <v>346</v>
      </c>
      <c r="B41" s="143"/>
      <c r="C41" s="1064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065"/>
      <c r="U41" s="280"/>
      <c r="V41" s="1066"/>
      <c r="W41" s="143"/>
      <c r="X41" s="119"/>
      <c r="Y41" s="1123"/>
      <c r="Z41" s="143">
        <v>-100622554</v>
      </c>
      <c r="AA41" s="1059"/>
    </row>
    <row r="42" spans="1:27" s="1024" customFormat="1" ht="15" thickBot="1">
      <c r="A42" s="424" t="s">
        <v>54</v>
      </c>
      <c r="B42" s="1067">
        <f>B34+B38</f>
        <v>1513271</v>
      </c>
      <c r="C42" s="1067">
        <f aca="true" t="shared" si="4" ref="C42:X42">C34+C38</f>
        <v>673945</v>
      </c>
      <c r="D42" s="1067">
        <f t="shared" si="4"/>
        <v>0</v>
      </c>
      <c r="E42" s="1067">
        <f t="shared" si="4"/>
        <v>3900498</v>
      </c>
      <c r="F42" s="1067">
        <f t="shared" si="4"/>
        <v>162449</v>
      </c>
      <c r="G42" s="1067">
        <f t="shared" si="4"/>
        <v>8203</v>
      </c>
      <c r="H42" s="1067">
        <f t="shared" si="4"/>
        <v>326000</v>
      </c>
      <c r="I42" s="1067">
        <f t="shared" si="4"/>
        <v>82857</v>
      </c>
      <c r="J42" s="1067">
        <f t="shared" si="4"/>
        <v>4338488</v>
      </c>
      <c r="K42" s="1067">
        <f t="shared" si="4"/>
        <v>140537</v>
      </c>
      <c r="L42" s="1067">
        <f t="shared" si="4"/>
        <v>2576133</v>
      </c>
      <c r="M42" s="1067">
        <f t="shared" si="4"/>
        <v>4095870</v>
      </c>
      <c r="N42" s="1067">
        <f t="shared" si="4"/>
        <v>71476</v>
      </c>
      <c r="O42" s="1067">
        <f t="shared" si="4"/>
        <v>85853</v>
      </c>
      <c r="P42" s="1067">
        <f t="shared" si="4"/>
        <v>859538</v>
      </c>
      <c r="Q42" s="1067">
        <f t="shared" si="4"/>
        <v>4060529</v>
      </c>
      <c r="R42" s="1067">
        <f t="shared" si="4"/>
        <v>537250</v>
      </c>
      <c r="S42" s="1067">
        <f t="shared" si="4"/>
        <v>450279</v>
      </c>
      <c r="T42" s="1068">
        <f t="shared" si="4"/>
        <v>0</v>
      </c>
      <c r="U42" s="1069">
        <f t="shared" si="4"/>
        <v>3693483</v>
      </c>
      <c r="V42" s="1070">
        <f t="shared" si="4"/>
        <v>379677</v>
      </c>
      <c r="W42" s="1067">
        <f t="shared" si="4"/>
        <v>98618</v>
      </c>
      <c r="X42" s="1114">
        <f t="shared" si="4"/>
        <v>3986908</v>
      </c>
      <c r="Y42" s="1115">
        <f t="shared" si="0"/>
        <v>32041862</v>
      </c>
      <c r="Z42" s="1067">
        <v>1074257374</v>
      </c>
      <c r="AA42" s="1116">
        <f t="shared" si="1"/>
        <v>1106299236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2"/>
  <sheetViews>
    <sheetView zoomScalePageLayoutView="0" workbookViewId="0" topLeftCell="A13">
      <pane xSplit="1" topLeftCell="P1" activePane="topRight" state="frozen"/>
      <selection pane="topLeft" activeCell="A1" sqref="A1"/>
      <selection pane="topRight" activeCell="AC8" sqref="AC8"/>
    </sheetView>
  </sheetViews>
  <sheetFormatPr defaultColWidth="9.140625" defaultRowHeight="15"/>
  <cols>
    <col min="1" max="1" width="51.28125" style="74" bestFit="1" customWidth="1"/>
    <col min="2" max="2" width="10.421875" style="74" bestFit="1" customWidth="1"/>
    <col min="3" max="3" width="13.8515625" style="74" bestFit="1" customWidth="1"/>
    <col min="4" max="4" width="10.7109375" style="74" bestFit="1" customWidth="1"/>
    <col min="5" max="5" width="10.57421875" style="74" bestFit="1" customWidth="1"/>
    <col min="6" max="6" width="10.421875" style="74" bestFit="1" customWidth="1"/>
    <col min="7" max="7" width="13.8515625" style="74" bestFit="1" customWidth="1"/>
    <col min="8" max="8" width="12.140625" style="74" bestFit="1" customWidth="1"/>
    <col min="9" max="10" width="10.421875" style="74" bestFit="1" customWidth="1"/>
    <col min="11" max="11" width="12.140625" style="74" bestFit="1" customWidth="1"/>
    <col min="12" max="12" width="10.421875" style="74" bestFit="1" customWidth="1"/>
    <col min="13" max="13" width="12.140625" style="74" bestFit="1" customWidth="1"/>
    <col min="14" max="15" width="10.421875" style="74" bestFit="1" customWidth="1"/>
    <col min="16" max="16" width="11.7109375" style="74" bestFit="1" customWidth="1"/>
    <col min="17" max="17" width="12.8515625" style="74" bestFit="1" customWidth="1"/>
    <col min="18" max="18" width="11.00390625" style="74" bestFit="1" customWidth="1"/>
    <col min="19" max="22" width="10.421875" style="74" bestFit="1" customWidth="1"/>
    <col min="23" max="23" width="10.7109375" style="74" bestFit="1" customWidth="1"/>
    <col min="24" max="24" width="10.421875" style="74" bestFit="1" customWidth="1"/>
    <col min="25" max="25" width="11.57421875" style="74" bestFit="1" customWidth="1"/>
    <col min="26" max="26" width="12.8515625" style="74" bestFit="1" customWidth="1"/>
    <col min="27" max="27" width="12.8515625" style="74" customWidth="1"/>
    <col min="28" max="16384" width="9.140625" style="74" customWidth="1"/>
  </cols>
  <sheetData>
    <row r="1" ht="17.25" thickBot="1">
      <c r="A1" s="1020" t="s">
        <v>312</v>
      </c>
    </row>
    <row r="2" spans="1:27" s="1023" customFormat="1" ht="75" customHeight="1" thickBot="1">
      <c r="A2" s="1223" t="s">
        <v>0</v>
      </c>
      <c r="B2" s="1021" t="s">
        <v>117</v>
      </c>
      <c r="C2" s="1006" t="s">
        <v>118</v>
      </c>
      <c r="D2" s="1006" t="s">
        <v>119</v>
      </c>
      <c r="E2" s="1006" t="s">
        <v>120</v>
      </c>
      <c r="F2" s="1006" t="s">
        <v>121</v>
      </c>
      <c r="G2" s="1006" t="s">
        <v>122</v>
      </c>
      <c r="H2" s="1006" t="s">
        <v>302</v>
      </c>
      <c r="I2" s="1006" t="s">
        <v>124</v>
      </c>
      <c r="J2" s="1006" t="s">
        <v>125</v>
      </c>
      <c r="K2" s="1006" t="s">
        <v>126</v>
      </c>
      <c r="L2" s="1006" t="s">
        <v>127</v>
      </c>
      <c r="M2" s="1006" t="s">
        <v>128</v>
      </c>
      <c r="N2" s="1006" t="s">
        <v>129</v>
      </c>
      <c r="O2" s="1006" t="s">
        <v>130</v>
      </c>
      <c r="P2" s="1006" t="s">
        <v>131</v>
      </c>
      <c r="Q2" s="1006" t="s">
        <v>132</v>
      </c>
      <c r="R2" s="1006" t="s">
        <v>133</v>
      </c>
      <c r="S2" s="1006" t="s">
        <v>134</v>
      </c>
      <c r="T2" s="1006" t="s">
        <v>135</v>
      </c>
      <c r="U2" s="1006" t="s">
        <v>136</v>
      </c>
      <c r="V2" s="1006" t="s">
        <v>137</v>
      </c>
      <c r="W2" s="1006" t="s">
        <v>138</v>
      </c>
      <c r="X2" s="1006" t="s">
        <v>139</v>
      </c>
      <c r="Y2" s="1022" t="s">
        <v>1</v>
      </c>
      <c r="Z2" s="1007" t="s">
        <v>140</v>
      </c>
      <c r="AA2" s="1022" t="s">
        <v>2</v>
      </c>
    </row>
    <row r="3" spans="1:27" s="1024" customFormat="1" ht="30.75" customHeight="1" thickBot="1">
      <c r="A3" s="1224"/>
      <c r="B3" s="460" t="s">
        <v>299</v>
      </c>
      <c r="C3" s="460" t="s">
        <v>299</v>
      </c>
      <c r="D3" s="460" t="s">
        <v>299</v>
      </c>
      <c r="E3" s="460" t="s">
        <v>299</v>
      </c>
      <c r="F3" s="460" t="s">
        <v>299</v>
      </c>
      <c r="G3" s="460" t="s">
        <v>299</v>
      </c>
      <c r="H3" s="460" t="s">
        <v>299</v>
      </c>
      <c r="I3" s="460" t="s">
        <v>299</v>
      </c>
      <c r="J3" s="460" t="s">
        <v>299</v>
      </c>
      <c r="K3" s="460" t="s">
        <v>299</v>
      </c>
      <c r="L3" s="460" t="s">
        <v>299</v>
      </c>
      <c r="M3" s="460" t="s">
        <v>299</v>
      </c>
      <c r="N3" s="460" t="s">
        <v>299</v>
      </c>
      <c r="O3" s="460" t="s">
        <v>299</v>
      </c>
      <c r="P3" s="460" t="s">
        <v>299</v>
      </c>
      <c r="Q3" s="460" t="s">
        <v>299</v>
      </c>
      <c r="R3" s="460" t="s">
        <v>299</v>
      </c>
      <c r="S3" s="460" t="s">
        <v>299</v>
      </c>
      <c r="T3" s="460" t="s">
        <v>299</v>
      </c>
      <c r="U3" s="460" t="s">
        <v>299</v>
      </c>
      <c r="V3" s="460" t="s">
        <v>299</v>
      </c>
      <c r="W3" s="460" t="s">
        <v>299</v>
      </c>
      <c r="X3" s="460" t="s">
        <v>299</v>
      </c>
      <c r="Y3" s="460" t="s">
        <v>299</v>
      </c>
      <c r="Z3" s="460" t="s">
        <v>299</v>
      </c>
      <c r="AA3" s="460" t="s">
        <v>299</v>
      </c>
    </row>
    <row r="4" spans="1:27" ht="16.5">
      <c r="A4" s="1036" t="s">
        <v>303</v>
      </c>
      <c r="B4" s="1025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5"/>
      <c r="Z4" s="1027"/>
      <c r="AA4" s="1028"/>
    </row>
    <row r="5" spans="1:27" ht="16.5">
      <c r="A5" s="327" t="s">
        <v>304</v>
      </c>
      <c r="B5" s="336">
        <v>2395392</v>
      </c>
      <c r="C5" s="329">
        <v>91605</v>
      </c>
      <c r="D5" s="329">
        <v>314140</v>
      </c>
      <c r="E5" s="329">
        <v>1951872</v>
      </c>
      <c r="F5" s="329">
        <v>90121</v>
      </c>
      <c r="G5" s="329">
        <v>982577</v>
      </c>
      <c r="H5" s="329">
        <v>36610</v>
      </c>
      <c r="I5" s="329">
        <v>80771</v>
      </c>
      <c r="J5" s="329">
        <v>179420</v>
      </c>
      <c r="K5" s="329">
        <v>61395</v>
      </c>
      <c r="L5" s="329">
        <v>5642829</v>
      </c>
      <c r="M5" s="329">
        <v>10353957</v>
      </c>
      <c r="N5" s="329">
        <v>289045</v>
      </c>
      <c r="O5" s="329">
        <v>437872</v>
      </c>
      <c r="P5" s="329">
        <v>1468974</v>
      </c>
      <c r="Q5" s="329">
        <v>1876624.97</v>
      </c>
      <c r="R5" s="329">
        <v>612739</v>
      </c>
      <c r="S5" s="329">
        <v>534362</v>
      </c>
      <c r="T5" s="329"/>
      <c r="U5" s="329">
        <v>7273372</v>
      </c>
      <c r="V5" s="329">
        <v>51080</v>
      </c>
      <c r="W5" s="329">
        <v>244570</v>
      </c>
      <c r="X5" s="329">
        <v>1055929</v>
      </c>
      <c r="Y5" s="336">
        <f>SUM(B5:X5)</f>
        <v>36025256.97</v>
      </c>
      <c r="Z5" s="334">
        <v>4256605</v>
      </c>
      <c r="AA5" s="336">
        <f>SUM(Y5:Z5)</f>
        <v>40281861.97</v>
      </c>
    </row>
    <row r="6" spans="1:27" ht="16.5">
      <c r="A6" s="327" t="s">
        <v>305</v>
      </c>
      <c r="B6" s="336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36"/>
      <c r="Z6" s="334"/>
      <c r="AA6" s="336"/>
    </row>
    <row r="7" spans="1:27" ht="16.5">
      <c r="A7" s="327" t="s">
        <v>306</v>
      </c>
      <c r="B7" s="336">
        <v>170991</v>
      </c>
      <c r="C7" s="329">
        <v>3386</v>
      </c>
      <c r="D7" s="329">
        <v>35988</v>
      </c>
      <c r="E7" s="329">
        <v>400814</v>
      </c>
      <c r="F7" s="329">
        <v>11180</v>
      </c>
      <c r="G7" s="329">
        <v>11057</v>
      </c>
      <c r="H7" s="329">
        <v>1089</v>
      </c>
      <c r="I7" s="329">
        <v>2898</v>
      </c>
      <c r="J7" s="329">
        <v>10739</v>
      </c>
      <c r="K7" s="329">
        <v>1390</v>
      </c>
      <c r="L7" s="329">
        <v>872560</v>
      </c>
      <c r="M7" s="329">
        <v>1251210</v>
      </c>
      <c r="N7" s="329">
        <v>8002</v>
      </c>
      <c r="O7" s="329">
        <v>20583</v>
      </c>
      <c r="P7" s="329">
        <v>77914</v>
      </c>
      <c r="Q7" s="329">
        <v>201899.79</v>
      </c>
      <c r="R7" s="329">
        <v>23383</v>
      </c>
      <c r="S7" s="329">
        <v>37183</v>
      </c>
      <c r="T7" s="329"/>
      <c r="U7" s="329">
        <v>1028572</v>
      </c>
      <c r="V7" s="329">
        <v>1304</v>
      </c>
      <c r="W7" s="329">
        <v>9808</v>
      </c>
      <c r="X7" s="329">
        <v>84555</v>
      </c>
      <c r="Y7" s="336">
        <f aca="true" t="shared" si="0" ref="Y7:Y21">SUM(B7:X7)</f>
        <v>4266505.79</v>
      </c>
      <c r="Z7" s="334">
        <v>1809463</v>
      </c>
      <c r="AA7" s="336">
        <f aca="true" t="shared" si="1" ref="AA7:AA21">SUM(Y7:Z7)</f>
        <v>6075968.79</v>
      </c>
    </row>
    <row r="8" spans="1:27" ht="16.5">
      <c r="A8" s="327" t="s">
        <v>307</v>
      </c>
      <c r="B8" s="336">
        <v>7176</v>
      </c>
      <c r="C8" s="1029"/>
      <c r="D8" s="329"/>
      <c r="E8" s="329"/>
      <c r="F8" s="329"/>
      <c r="G8" s="329"/>
      <c r="H8" s="329"/>
      <c r="I8" s="329"/>
      <c r="J8" s="329">
        <v>9571</v>
      </c>
      <c r="K8" s="329"/>
      <c r="L8" s="329"/>
      <c r="M8" s="329">
        <v>96156</v>
      </c>
      <c r="N8" s="329"/>
      <c r="O8" s="329">
        <v>2733</v>
      </c>
      <c r="P8" s="329"/>
      <c r="Q8" s="329"/>
      <c r="R8" s="329"/>
      <c r="S8" s="329">
        <v>1926</v>
      </c>
      <c r="T8" s="329"/>
      <c r="U8" s="329"/>
      <c r="V8" s="329"/>
      <c r="W8" s="329"/>
      <c r="X8" s="329">
        <v>5580</v>
      </c>
      <c r="Y8" s="336">
        <f t="shared" si="0"/>
        <v>123142</v>
      </c>
      <c r="Z8" s="334">
        <v>168892</v>
      </c>
      <c r="AA8" s="336">
        <f t="shared" si="1"/>
        <v>292034</v>
      </c>
    </row>
    <row r="9" spans="1:27" ht="16.5">
      <c r="A9" s="327" t="s">
        <v>308</v>
      </c>
      <c r="B9" s="336"/>
      <c r="C9" s="10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36"/>
      <c r="Z9" s="334"/>
      <c r="AA9" s="336"/>
    </row>
    <row r="10" spans="1:27" ht="16.5">
      <c r="A10" s="327" t="s">
        <v>309</v>
      </c>
      <c r="B10" s="336"/>
      <c r="C10" s="10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36"/>
      <c r="Z10" s="334"/>
      <c r="AA10" s="336"/>
    </row>
    <row r="11" spans="1:27" ht="16.5">
      <c r="A11" s="1037" t="s">
        <v>310</v>
      </c>
      <c r="B11" s="336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36"/>
      <c r="Z11" s="334"/>
      <c r="AA11" s="336"/>
    </row>
    <row r="12" spans="1:27" ht="16.5">
      <c r="A12" s="327" t="s">
        <v>304</v>
      </c>
      <c r="B12" s="336">
        <v>987630</v>
      </c>
      <c r="C12" s="329">
        <v>139154</v>
      </c>
      <c r="D12" s="329">
        <v>519001</v>
      </c>
      <c r="E12" s="329">
        <v>1781276</v>
      </c>
      <c r="F12" s="329">
        <v>399042</v>
      </c>
      <c r="G12" s="329">
        <v>453646</v>
      </c>
      <c r="H12" s="329">
        <v>364354</v>
      </c>
      <c r="I12" s="329">
        <v>165409</v>
      </c>
      <c r="J12" s="329">
        <v>1051107</v>
      </c>
      <c r="K12" s="329">
        <v>293344</v>
      </c>
      <c r="L12" s="329">
        <v>4538506</v>
      </c>
      <c r="M12" s="329">
        <v>3838782</v>
      </c>
      <c r="N12" s="329">
        <v>619582</v>
      </c>
      <c r="O12" s="329">
        <v>319493</v>
      </c>
      <c r="P12" s="329">
        <v>1471638</v>
      </c>
      <c r="Q12" s="329">
        <v>4283989.38</v>
      </c>
      <c r="R12" s="329">
        <v>1436212</v>
      </c>
      <c r="S12" s="329">
        <v>1390262</v>
      </c>
      <c r="T12" s="329"/>
      <c r="U12" s="329">
        <v>6215178</v>
      </c>
      <c r="V12" s="329">
        <v>375539</v>
      </c>
      <c r="W12" s="329">
        <v>525516</v>
      </c>
      <c r="X12" s="329">
        <v>1765539</v>
      </c>
      <c r="Y12" s="336">
        <f t="shared" si="0"/>
        <v>32934199.38</v>
      </c>
      <c r="Z12" s="334">
        <v>243127210</v>
      </c>
      <c r="AA12" s="336">
        <f t="shared" si="1"/>
        <v>276061409.38</v>
      </c>
    </row>
    <row r="13" spans="1:27" ht="16.5">
      <c r="A13" s="327" t="s">
        <v>305</v>
      </c>
      <c r="B13" s="336">
        <v>19902</v>
      </c>
      <c r="C13" s="329">
        <v>30</v>
      </c>
      <c r="D13" s="329">
        <v>4472</v>
      </c>
      <c r="E13" s="329">
        <v>18639</v>
      </c>
      <c r="F13" s="329"/>
      <c r="G13" s="329">
        <v>15573</v>
      </c>
      <c r="H13" s="329"/>
      <c r="I13" s="329">
        <v>3436</v>
      </c>
      <c r="J13" s="329">
        <v>11873</v>
      </c>
      <c r="K13" s="329">
        <v>954</v>
      </c>
      <c r="L13" s="329">
        <v>692702</v>
      </c>
      <c r="M13" s="329">
        <v>414698</v>
      </c>
      <c r="N13" s="329"/>
      <c r="O13" s="329">
        <v>274</v>
      </c>
      <c r="P13" s="329">
        <v>37233</v>
      </c>
      <c r="Q13" s="329">
        <v>16386.79</v>
      </c>
      <c r="R13" s="329">
        <v>3550</v>
      </c>
      <c r="S13" s="329">
        <v>6863</v>
      </c>
      <c r="T13" s="329"/>
      <c r="U13" s="329">
        <v>369223</v>
      </c>
      <c r="V13" s="329">
        <v>749</v>
      </c>
      <c r="W13" s="329">
        <v>19143</v>
      </c>
      <c r="X13" s="329">
        <v>41627</v>
      </c>
      <c r="Y13" s="336">
        <f t="shared" si="0"/>
        <v>1677327.79</v>
      </c>
      <c r="Z13" s="334">
        <v>8367367</v>
      </c>
      <c r="AA13" s="336">
        <f t="shared" si="1"/>
        <v>10044694.79</v>
      </c>
    </row>
    <row r="14" spans="1:27" ht="16.5">
      <c r="A14" s="327" t="s">
        <v>306</v>
      </c>
      <c r="B14" s="336">
        <v>222133</v>
      </c>
      <c r="C14" s="329">
        <v>298</v>
      </c>
      <c r="D14" s="329">
        <v>16452</v>
      </c>
      <c r="E14" s="329">
        <v>761960</v>
      </c>
      <c r="F14" s="329">
        <v>473</v>
      </c>
      <c r="G14" s="329">
        <v>69116</v>
      </c>
      <c r="H14" s="329"/>
      <c r="I14" s="329">
        <v>6986</v>
      </c>
      <c r="J14" s="329">
        <v>184550</v>
      </c>
      <c r="K14" s="329">
        <v>37840</v>
      </c>
      <c r="L14" s="329">
        <v>924868</v>
      </c>
      <c r="M14" s="329">
        <v>78130</v>
      </c>
      <c r="N14" s="329">
        <v>5587</v>
      </c>
      <c r="O14" s="329">
        <v>636699</v>
      </c>
      <c r="P14" s="329">
        <v>64470</v>
      </c>
      <c r="Q14" s="329">
        <v>7108.58</v>
      </c>
      <c r="R14" s="329">
        <v>17365</v>
      </c>
      <c r="S14" s="329">
        <v>12471</v>
      </c>
      <c r="T14" s="329"/>
      <c r="U14" s="329">
        <v>622758</v>
      </c>
      <c r="V14" s="329"/>
      <c r="W14" s="329">
        <v>60968</v>
      </c>
      <c r="X14" s="329">
        <v>63584</v>
      </c>
      <c r="Y14" s="336">
        <f t="shared" si="0"/>
        <v>3793816.58</v>
      </c>
      <c r="Z14" s="334">
        <v>48307025</v>
      </c>
      <c r="AA14" s="336">
        <f t="shared" si="1"/>
        <v>52100841.58</v>
      </c>
    </row>
    <row r="15" spans="1:27" ht="16.5">
      <c r="A15" s="327" t="s">
        <v>307</v>
      </c>
      <c r="B15" s="336">
        <v>61</v>
      </c>
      <c r="C15" s="329">
        <v>188</v>
      </c>
      <c r="D15" s="329">
        <v>1096</v>
      </c>
      <c r="E15" s="329">
        <v>1091</v>
      </c>
      <c r="F15" s="329">
        <v>1343</v>
      </c>
      <c r="G15" s="329">
        <v>273</v>
      </c>
      <c r="H15" s="329">
        <v>258</v>
      </c>
      <c r="I15" s="329">
        <v>529</v>
      </c>
      <c r="J15" s="329">
        <v>176</v>
      </c>
      <c r="K15" s="329">
        <v>906</v>
      </c>
      <c r="L15" s="329">
        <v>5471</v>
      </c>
      <c r="M15" s="329">
        <v>3795</v>
      </c>
      <c r="N15" s="329">
        <v>7</v>
      </c>
      <c r="O15" s="329">
        <v>311</v>
      </c>
      <c r="P15" s="329"/>
      <c r="Q15" s="329">
        <v>2084.81</v>
      </c>
      <c r="R15" s="329">
        <v>14305</v>
      </c>
      <c r="S15" s="329">
        <v>1324</v>
      </c>
      <c r="T15" s="329"/>
      <c r="U15" s="329">
        <v>261</v>
      </c>
      <c r="V15" s="329">
        <v>37</v>
      </c>
      <c r="W15" s="329">
        <v>7342</v>
      </c>
      <c r="X15" s="329">
        <v>2403</v>
      </c>
      <c r="Y15" s="336">
        <f t="shared" si="0"/>
        <v>43261.81</v>
      </c>
      <c r="Z15" s="334">
        <v>89892</v>
      </c>
      <c r="AA15" s="336">
        <f t="shared" si="1"/>
        <v>133153.81</v>
      </c>
    </row>
    <row r="16" spans="1:27" ht="17.25" thickBot="1">
      <c r="A16" s="1038" t="s">
        <v>308</v>
      </c>
      <c r="B16" s="1030">
        <v>314952</v>
      </c>
      <c r="C16" s="1031"/>
      <c r="D16" s="1031"/>
      <c r="E16" s="1031"/>
      <c r="F16" s="1031"/>
      <c r="G16" s="1031"/>
      <c r="H16" s="1031"/>
      <c r="I16" s="1031"/>
      <c r="J16" s="1031">
        <v>1098</v>
      </c>
      <c r="K16" s="1031"/>
      <c r="L16" s="1031"/>
      <c r="M16" s="1031"/>
      <c r="N16" s="1031"/>
      <c r="O16" s="1031"/>
      <c r="P16" s="1031"/>
      <c r="Q16" s="1031"/>
      <c r="R16" s="1031"/>
      <c r="S16" s="1031"/>
      <c r="T16" s="1031"/>
      <c r="U16" s="1031"/>
      <c r="V16" s="1031"/>
      <c r="W16" s="1031"/>
      <c r="X16" s="1031"/>
      <c r="Y16" s="336">
        <f t="shared" si="0"/>
        <v>316050</v>
      </c>
      <c r="Z16" s="1032"/>
      <c r="AA16" s="336">
        <f t="shared" si="1"/>
        <v>316050</v>
      </c>
    </row>
    <row r="17" spans="1:27" ht="16.5">
      <c r="A17" s="327" t="s">
        <v>309</v>
      </c>
      <c r="B17" s="336"/>
      <c r="C17" s="329"/>
      <c r="D17" s="329"/>
      <c r="E17" s="329"/>
      <c r="F17" s="329"/>
      <c r="G17" s="329"/>
      <c r="H17" s="329"/>
      <c r="I17" s="329"/>
      <c r="J17" s="329">
        <v>5979</v>
      </c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36">
        <f t="shared" si="0"/>
        <v>5979</v>
      </c>
      <c r="Z17" s="334"/>
      <c r="AA17" s="336">
        <f t="shared" si="1"/>
        <v>5979</v>
      </c>
    </row>
    <row r="18" spans="1:27" ht="16.5">
      <c r="A18" s="1028" t="s">
        <v>311</v>
      </c>
      <c r="B18" s="336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36"/>
      <c r="Z18" s="334"/>
      <c r="AA18" s="336"/>
    </row>
    <row r="19" spans="1:27" ht="16.5">
      <c r="A19" s="327" t="s">
        <v>304</v>
      </c>
      <c r="B19" s="336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>
        <v>18357</v>
      </c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36">
        <f t="shared" si="0"/>
        <v>18357</v>
      </c>
      <c r="Z19" s="334"/>
      <c r="AA19" s="336">
        <f t="shared" si="1"/>
        <v>18357</v>
      </c>
    </row>
    <row r="20" spans="1:27" ht="16.5">
      <c r="A20" s="327" t="s">
        <v>305</v>
      </c>
      <c r="B20" s="336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36"/>
      <c r="Z20" s="334"/>
      <c r="AA20" s="336"/>
    </row>
    <row r="21" spans="1:27" ht="16.5">
      <c r="A21" s="327" t="s">
        <v>306</v>
      </c>
      <c r="B21" s="336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>
        <v>12321</v>
      </c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36">
        <f t="shared" si="0"/>
        <v>12321</v>
      </c>
      <c r="Z21" s="334"/>
      <c r="AA21" s="336">
        <f t="shared" si="1"/>
        <v>12321</v>
      </c>
    </row>
    <row r="22" spans="1:27" ht="17.25" thickBot="1">
      <c r="A22" s="1039" t="s">
        <v>307</v>
      </c>
      <c r="B22" s="1033"/>
      <c r="C22" s="1034"/>
      <c r="D22" s="1034"/>
      <c r="E22" s="1034"/>
      <c r="F22" s="1034"/>
      <c r="G22" s="1034"/>
      <c r="H22" s="1034"/>
      <c r="I22" s="1034"/>
      <c r="J22" s="1034"/>
      <c r="K22" s="1034"/>
      <c r="L22" s="1034"/>
      <c r="M22" s="1034"/>
      <c r="N22" s="1034"/>
      <c r="O22" s="1034"/>
      <c r="P22" s="1034"/>
      <c r="Q22" s="1034"/>
      <c r="R22" s="1034"/>
      <c r="S22" s="1034"/>
      <c r="T22" s="1034"/>
      <c r="U22" s="1034"/>
      <c r="V22" s="1034"/>
      <c r="W22" s="1034"/>
      <c r="X22" s="1034"/>
      <c r="Y22" s="1033"/>
      <c r="Z22" s="1035"/>
      <c r="AA22" s="1033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Pande Sandeep</dc:creator>
  <cp:keywords/>
  <dc:description/>
  <cp:lastModifiedBy>Pande Sandeep</cp:lastModifiedBy>
  <dcterms:created xsi:type="dcterms:W3CDTF">2019-02-21T06:27:16Z</dcterms:created>
  <dcterms:modified xsi:type="dcterms:W3CDTF">2020-02-25T05:06:45Z</dcterms:modified>
  <cp:category/>
  <cp:version/>
  <cp:contentType/>
  <cp:contentStatus/>
</cp:coreProperties>
</file>